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x-astrisnlsite\public\docs\"/>
    </mc:Choice>
  </mc:AlternateContent>
  <xr:revisionPtr revIDLastSave="0" documentId="13_ncr:1_{CD25905A-BEEC-435B-A06B-7C9305DD4325}" xr6:coauthVersionLast="47" xr6:coauthVersionMax="47" xr10:uidLastSave="{00000000-0000-0000-0000-000000000000}"/>
  <bookViews>
    <workbookView xWindow="-108" yWindow="-108" windowWidth="23256" windowHeight="12576" xr2:uid="{E903A147-5C2F-419C-8E7F-9F1297D07496}"/>
  </bookViews>
  <sheets>
    <sheet name="Frontpage" sheetId="1" r:id="rId1"/>
    <sheet name="Input" sheetId="9" r:id="rId2"/>
    <sheet name="1. Revenue" sheetId="15" r:id="rId3"/>
    <sheet name="2. COGS" sheetId="17" r:id="rId4"/>
    <sheet name="3. Employee expenses" sheetId="10" r:id="rId5"/>
    <sheet name="4. Other expenses and CIT" sheetId="19" r:id="rId6"/>
    <sheet name="5. Depreciation and investments" sheetId="13" r:id="rId7"/>
    <sheet name="6. Working capital" sheetId="23" r:id="rId8"/>
    <sheet name="7. Debt and interest" sheetId="24" r:id="rId9"/>
    <sheet name="Output" sheetId="8" r:id="rId10"/>
    <sheet name="1. Financial statements" sheetId="7" r:id="rId11"/>
    <sheet name="Other examples" sheetId="4" r:id="rId12"/>
    <sheet name="1. NPV calculation" sheetId="28" r:id="rId13"/>
    <sheet name="1. Revenue SaaS" sheetId="16"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8" i="1" l="1" a="1"/>
  <c r="B18" i="1" s="1"/>
  <c r="H19" i="10"/>
  <c r="H18" i="10"/>
  <c r="G19" i="10"/>
  <c r="I19" i="10" s="1"/>
  <c r="G18" i="10"/>
  <c r="I18" i="10" s="1"/>
  <c r="I15" i="28"/>
  <c r="I16" i="28" s="1"/>
  <c r="H15" i="28"/>
  <c r="H16" i="28" s="1"/>
  <c r="G15" i="28"/>
  <c r="G16" i="28" s="1"/>
  <c r="F15" i="28"/>
  <c r="F16" i="28" s="1"/>
  <c r="F18" i="28" s="1"/>
  <c r="F25" i="16"/>
  <c r="F26" i="16" s="1"/>
  <c r="F21" i="16"/>
  <c r="G21" i="16"/>
  <c r="H21" i="16"/>
  <c r="I21" i="16"/>
  <c r="B2" i="28" l="1"/>
  <c r="H31" i="13" l="1"/>
  <c r="F31" i="13"/>
  <c r="G14" i="19"/>
  <c r="H14" i="19" s="1"/>
  <c r="I14" i="19" s="1"/>
  <c r="G13" i="19"/>
  <c r="H13" i="19" s="1"/>
  <c r="I13" i="19" s="1"/>
  <c r="B18" i="4" a="1"/>
  <c r="B18" i="4" s="1"/>
  <c r="K17" i="4"/>
  <c r="B18" i="8" a="1"/>
  <c r="B18" i="8" s="1"/>
  <c r="K17" i="8"/>
  <c r="B18" i="9" a="1"/>
  <c r="B18" i="9" s="1"/>
  <c r="K17" i="9"/>
  <c r="F16" i="24"/>
  <c r="B2" i="24"/>
  <c r="B2" i="23"/>
  <c r="F28" i="15"/>
  <c r="F19" i="15"/>
  <c r="F20" i="15" s="1"/>
  <c r="E26" i="13"/>
  <c r="H27" i="13" s="1"/>
  <c r="I27" i="13" s="1"/>
  <c r="E18" i="13"/>
  <c r="F18" i="24" l="1"/>
  <c r="F24" i="7" s="1"/>
  <c r="F69" i="7" s="1"/>
  <c r="F17" i="24"/>
  <c r="F44" i="7" s="1"/>
  <c r="F68" i="7" s="1"/>
  <c r="F20" i="13"/>
  <c r="F33" i="13" s="1"/>
  <c r="F22" i="7" s="1"/>
  <c r="F61" i="7" s="1"/>
  <c r="F19" i="13"/>
  <c r="G19" i="13" s="1"/>
  <c r="H19" i="13" s="1"/>
  <c r="I19" i="13" s="1"/>
  <c r="G16" i="24"/>
  <c r="H28" i="13"/>
  <c r="I28" i="13"/>
  <c r="H20" i="13"/>
  <c r="G20" i="13"/>
  <c r="G33" i="13" s="1"/>
  <c r="G22" i="7" s="1"/>
  <c r="G61" i="7" s="1"/>
  <c r="I20" i="13"/>
  <c r="G15" i="19"/>
  <c r="G19" i="7" s="1"/>
  <c r="F15" i="19"/>
  <c r="B2" i="19"/>
  <c r="T21" i="10"/>
  <c r="O21" i="10"/>
  <c r="B2" i="17"/>
  <c r="G17" i="16"/>
  <c r="H17" i="16"/>
  <c r="I17" i="16"/>
  <c r="F17" i="16"/>
  <c r="I13" i="16"/>
  <c r="H12" i="16"/>
  <c r="I12" i="16" s="1"/>
  <c r="G11" i="16"/>
  <c r="B2" i="16"/>
  <c r="G27" i="15"/>
  <c r="G17" i="15"/>
  <c r="G26" i="15" s="1"/>
  <c r="H17" i="15"/>
  <c r="H26" i="15" s="1"/>
  <c r="I17" i="15"/>
  <c r="I26" i="15" s="1"/>
  <c r="F17" i="15"/>
  <c r="F26" i="15" s="1"/>
  <c r="G18" i="15"/>
  <c r="F12" i="17"/>
  <c r="B2" i="15"/>
  <c r="F13" i="17" l="1"/>
  <c r="G18" i="24"/>
  <c r="G24" i="7" s="1"/>
  <c r="G69" i="7" s="1"/>
  <c r="G17" i="24"/>
  <c r="H16" i="24" s="1"/>
  <c r="G26" i="16"/>
  <c r="G18" i="16" s="1"/>
  <c r="G23" i="16" s="1"/>
  <c r="G25" i="16"/>
  <c r="F19" i="7"/>
  <c r="F29" i="15"/>
  <c r="I33" i="13"/>
  <c r="I22" i="7" s="1"/>
  <c r="I61" i="7" s="1"/>
  <c r="H27" i="15"/>
  <c r="G28" i="15"/>
  <c r="G29" i="15" s="1"/>
  <c r="G12" i="7" s="1"/>
  <c r="G19" i="15"/>
  <c r="G20" i="15" s="1"/>
  <c r="G11" i="7" s="1"/>
  <c r="G13" i="7" s="1"/>
  <c r="F34" i="15"/>
  <c r="F11" i="7"/>
  <c r="F32" i="13"/>
  <c r="H33" i="13"/>
  <c r="H22" i="7" s="1"/>
  <c r="H61" i="7" s="1"/>
  <c r="H15" i="19"/>
  <c r="H19" i="7" s="1"/>
  <c r="H11" i="16"/>
  <c r="F18" i="16"/>
  <c r="F23" i="16" s="1"/>
  <c r="H18" i="15"/>
  <c r="G44" i="7" l="1"/>
  <c r="G68" i="7" s="1"/>
  <c r="F19" i="17"/>
  <c r="F21" i="17"/>
  <c r="H18" i="24"/>
  <c r="H24" i="7" s="1"/>
  <c r="H69" i="7" s="1"/>
  <c r="H17" i="24"/>
  <c r="H26" i="16"/>
  <c r="H18" i="16" s="1"/>
  <c r="H23" i="16" s="1"/>
  <c r="H25" i="16"/>
  <c r="F35" i="15"/>
  <c r="F36" i="15" s="1"/>
  <c r="F36" i="7"/>
  <c r="G34" i="15"/>
  <c r="F12" i="7"/>
  <c r="F13" i="7" s="1"/>
  <c r="F16" i="17"/>
  <c r="F17" i="17" s="1"/>
  <c r="F14" i="7"/>
  <c r="I27" i="15"/>
  <c r="I28" i="15" s="1"/>
  <c r="I29" i="15" s="1"/>
  <c r="H28" i="15"/>
  <c r="H29" i="15" s="1"/>
  <c r="G12" i="17"/>
  <c r="I18" i="15"/>
  <c r="I19" i="15" s="1"/>
  <c r="I20" i="15" s="1"/>
  <c r="I11" i="7" s="1"/>
  <c r="H19" i="15"/>
  <c r="H20" i="15" s="1"/>
  <c r="H11" i="7" s="1"/>
  <c r="G35" i="15"/>
  <c r="G16" i="17"/>
  <c r="H32" i="13"/>
  <c r="G32" i="13"/>
  <c r="I15" i="19"/>
  <c r="I19" i="7" s="1"/>
  <c r="I11" i="16"/>
  <c r="I26" i="16" s="1"/>
  <c r="G17" i="17" l="1"/>
  <c r="G15" i="7" s="1"/>
  <c r="H13" i="7"/>
  <c r="G13" i="17"/>
  <c r="H16" i="17"/>
  <c r="H12" i="7"/>
  <c r="I16" i="17"/>
  <c r="I17" i="17" s="1"/>
  <c r="I15" i="7" s="1"/>
  <c r="I12" i="7"/>
  <c r="I13" i="7" s="1"/>
  <c r="F64" i="7"/>
  <c r="F65" i="7" s="1"/>
  <c r="G36" i="15"/>
  <c r="G11" i="19" s="1"/>
  <c r="G17" i="19" s="1"/>
  <c r="I16" i="24"/>
  <c r="H44" i="7"/>
  <c r="H68" i="7" s="1"/>
  <c r="G36" i="7"/>
  <c r="G64" i="7" s="1"/>
  <c r="H35" i="15"/>
  <c r="I22" i="17"/>
  <c r="F24" i="23"/>
  <c r="F25" i="23" s="1"/>
  <c r="F16" i="23"/>
  <c r="F17" i="23" s="1"/>
  <c r="F28" i="23"/>
  <c r="F29" i="23" s="1"/>
  <c r="F46" i="7" s="1"/>
  <c r="I35" i="15"/>
  <c r="F11" i="19"/>
  <c r="F17" i="19" s="1"/>
  <c r="H34" i="15"/>
  <c r="H12" i="17"/>
  <c r="I32" i="13"/>
  <c r="H36" i="7"/>
  <c r="I18" i="16"/>
  <c r="I23" i="16" s="1"/>
  <c r="I25" i="16"/>
  <c r="G22" i="17" l="1"/>
  <c r="G19" i="17"/>
  <c r="G23" i="17" s="1"/>
  <c r="G14" i="7"/>
  <c r="G16" i="7" s="1"/>
  <c r="G17" i="7" s="1"/>
  <c r="G21" i="17"/>
  <c r="H17" i="17"/>
  <c r="H15" i="7" s="1"/>
  <c r="H21" i="17"/>
  <c r="H13" i="17"/>
  <c r="I18" i="24"/>
  <c r="I24" i="7" s="1"/>
  <c r="I69" i="7" s="1"/>
  <c r="I17" i="24"/>
  <c r="H64" i="7"/>
  <c r="H65" i="7" s="1"/>
  <c r="F15" i="7"/>
  <c r="F22" i="17"/>
  <c r="H36" i="15"/>
  <c r="H11" i="19" s="1"/>
  <c r="H17" i="19" s="1"/>
  <c r="F23" i="17"/>
  <c r="G65" i="7"/>
  <c r="I36" i="7"/>
  <c r="I64" i="7" s="1"/>
  <c r="H28" i="23"/>
  <c r="H29" i="23" s="1"/>
  <c r="H46" i="7" s="1"/>
  <c r="F39" i="7"/>
  <c r="F57" i="7" s="1"/>
  <c r="F59" i="7"/>
  <c r="F38" i="7"/>
  <c r="F56" i="7" s="1"/>
  <c r="G28" i="23"/>
  <c r="G29" i="23" s="1"/>
  <c r="G46" i="7" s="1"/>
  <c r="G16" i="23"/>
  <c r="G17" i="23" s="1"/>
  <c r="G24" i="23"/>
  <c r="G25" i="23" s="1"/>
  <c r="I34" i="15"/>
  <c r="I36" i="15" s="1"/>
  <c r="I11" i="19" s="1"/>
  <c r="I17" i="19" s="1"/>
  <c r="I12" i="17"/>
  <c r="B2" i="13"/>
  <c r="J28" i="10"/>
  <c r="O28" i="10" s="1"/>
  <c r="T28" i="10" s="1"/>
  <c r="J29" i="10"/>
  <c r="O29" i="10" s="1"/>
  <c r="T29" i="10" s="1"/>
  <c r="J30" i="10"/>
  <c r="O30" i="10" s="1"/>
  <c r="T30" i="10" s="1"/>
  <c r="J27" i="10"/>
  <c r="O27" i="10" s="1"/>
  <c r="J24" i="10"/>
  <c r="O24" i="10" s="1"/>
  <c r="J23" i="10"/>
  <c r="O23" i="10" s="1"/>
  <c r="T23" i="10" s="1"/>
  <c r="E31" i="10"/>
  <c r="K30" i="10"/>
  <c r="P30" i="10" s="1"/>
  <c r="H30" i="10"/>
  <c r="G30" i="10"/>
  <c r="K29" i="10"/>
  <c r="P29" i="10" s="1"/>
  <c r="H29" i="10"/>
  <c r="G29" i="10"/>
  <c r="K28" i="10"/>
  <c r="P28" i="10" s="1"/>
  <c r="H28" i="10"/>
  <c r="G28" i="10"/>
  <c r="K27" i="10"/>
  <c r="P27" i="10" s="1"/>
  <c r="H27" i="10"/>
  <c r="G27" i="10"/>
  <c r="E25" i="10"/>
  <c r="K24" i="10"/>
  <c r="H24" i="10"/>
  <c r="G24" i="10"/>
  <c r="K23" i="10"/>
  <c r="H23" i="10"/>
  <c r="G23" i="10"/>
  <c r="H14" i="7" l="1"/>
  <c r="H16" i="7" s="1"/>
  <c r="H17" i="7" s="1"/>
  <c r="H19" i="17"/>
  <c r="H22" i="17"/>
  <c r="I30" i="10"/>
  <c r="I13" i="17"/>
  <c r="I65" i="7"/>
  <c r="F16" i="7"/>
  <c r="F17" i="7" s="1"/>
  <c r="G12" i="23"/>
  <c r="G13" i="23" s="1"/>
  <c r="H24" i="23"/>
  <c r="H25" i="23" s="1"/>
  <c r="H16" i="23"/>
  <c r="H17" i="23" s="1"/>
  <c r="H38" i="7" s="1"/>
  <c r="I44" i="7"/>
  <c r="I68" i="7" s="1"/>
  <c r="G38" i="7"/>
  <c r="G56" i="7" s="1"/>
  <c r="G39" i="7"/>
  <c r="G57" i="7" s="1"/>
  <c r="G59" i="7"/>
  <c r="I28" i="23"/>
  <c r="I29" i="23" s="1"/>
  <c r="I46" i="7" s="1"/>
  <c r="I16" i="23"/>
  <c r="I17" i="23" s="1"/>
  <c r="I24" i="23"/>
  <c r="I25" i="23" s="1"/>
  <c r="G20" i="23"/>
  <c r="G21" i="23" s="1"/>
  <c r="G45" i="7" s="1"/>
  <c r="H23" i="17"/>
  <c r="I29" i="10"/>
  <c r="I24" i="10"/>
  <c r="O25" i="10"/>
  <c r="T24" i="10"/>
  <c r="T25" i="10" s="1"/>
  <c r="O31" i="10"/>
  <c r="T27" i="10"/>
  <c r="T31" i="10" s="1"/>
  <c r="Q30" i="10"/>
  <c r="R30" i="10"/>
  <c r="U30" i="10"/>
  <c r="L23" i="10"/>
  <c r="P23" i="10"/>
  <c r="U28" i="10"/>
  <c r="R28" i="10"/>
  <c r="Q28" i="10"/>
  <c r="R27" i="10"/>
  <c r="U27" i="10"/>
  <c r="Q27" i="10"/>
  <c r="R29" i="10"/>
  <c r="U29" i="10"/>
  <c r="Q29" i="10"/>
  <c r="M24" i="10"/>
  <c r="P24" i="10"/>
  <c r="I27" i="10"/>
  <c r="I28" i="10"/>
  <c r="J31" i="10"/>
  <c r="M23" i="10"/>
  <c r="N23" i="10" s="1"/>
  <c r="I23" i="10"/>
  <c r="J25" i="10"/>
  <c r="L29" i="10"/>
  <c r="M30" i="10"/>
  <c r="M29" i="10"/>
  <c r="L30" i="10"/>
  <c r="L27" i="10"/>
  <c r="M28" i="10"/>
  <c r="M27" i="10"/>
  <c r="L28" i="10"/>
  <c r="L24" i="10"/>
  <c r="I19" i="17" l="1"/>
  <c r="I23" i="17" s="1"/>
  <c r="I14" i="7"/>
  <c r="I16" i="7" s="1"/>
  <c r="I17" i="7" s="1"/>
  <c r="I21" i="17"/>
  <c r="F12" i="23"/>
  <c r="F13" i="23" s="1"/>
  <c r="F37" i="7" s="1"/>
  <c r="F55" i="7" s="1"/>
  <c r="F20" i="23"/>
  <c r="F21" i="23" s="1"/>
  <c r="F45" i="7" s="1"/>
  <c r="F58" i="7" s="1"/>
  <c r="G37" i="7"/>
  <c r="H12" i="23"/>
  <c r="H13" i="23" s="1"/>
  <c r="H39" i="7"/>
  <c r="H57" i="7" s="1"/>
  <c r="H59" i="7"/>
  <c r="I25" i="10"/>
  <c r="H56" i="7"/>
  <c r="I38" i="7"/>
  <c r="I56" i="7" s="1"/>
  <c r="I39" i="7"/>
  <c r="I59" i="7"/>
  <c r="I20" i="23"/>
  <c r="I21" i="23" s="1"/>
  <c r="I45" i="7" s="1"/>
  <c r="H20" i="23"/>
  <c r="H21" i="23" s="1"/>
  <c r="H45" i="7" s="1"/>
  <c r="S30" i="10"/>
  <c r="S28" i="10"/>
  <c r="T33" i="10"/>
  <c r="S29" i="10"/>
  <c r="O33" i="10"/>
  <c r="S27" i="10"/>
  <c r="N24" i="10"/>
  <c r="N25" i="10" s="1"/>
  <c r="W29" i="10"/>
  <c r="V29" i="10"/>
  <c r="R23" i="10"/>
  <c r="U23" i="10"/>
  <c r="Q23" i="10"/>
  <c r="S23" i="10" s="1"/>
  <c r="W27" i="10"/>
  <c r="V27" i="10"/>
  <c r="W30" i="10"/>
  <c r="V30" i="10"/>
  <c r="V28" i="10"/>
  <c r="W28" i="10"/>
  <c r="R24" i="10"/>
  <c r="U24" i="10"/>
  <c r="Q24" i="10"/>
  <c r="N28" i="10"/>
  <c r="I31" i="10"/>
  <c r="N30" i="10"/>
  <c r="N27" i="10"/>
  <c r="N29" i="10"/>
  <c r="I12" i="23" l="1"/>
  <c r="I13" i="23" s="1"/>
  <c r="G55" i="7"/>
  <c r="F60" i="7"/>
  <c r="G58" i="7"/>
  <c r="G60" i="7" s="1"/>
  <c r="I37" i="7"/>
  <c r="H37" i="7"/>
  <c r="H55" i="7" s="1"/>
  <c r="I57" i="7"/>
  <c r="H58" i="7"/>
  <c r="X28" i="10"/>
  <c r="S31" i="10"/>
  <c r="X27" i="10"/>
  <c r="X29" i="10"/>
  <c r="X30" i="10"/>
  <c r="V23" i="10"/>
  <c r="W23" i="10"/>
  <c r="S24" i="10"/>
  <c r="S25" i="10" s="1"/>
  <c r="W24" i="10"/>
  <c r="V24" i="10"/>
  <c r="N31" i="10"/>
  <c r="K19" i="10"/>
  <c r="K20" i="10"/>
  <c r="P20" i="10" s="1"/>
  <c r="K18" i="10"/>
  <c r="P18" i="10" s="1"/>
  <c r="H20" i="10"/>
  <c r="G20" i="10"/>
  <c r="I20" i="10" s="1"/>
  <c r="I21" i="10" s="1"/>
  <c r="I55" i="7" l="1"/>
  <c r="H60" i="7"/>
  <c r="I58" i="7"/>
  <c r="X31" i="10"/>
  <c r="X23" i="10"/>
  <c r="X24" i="10"/>
  <c r="Q20" i="10"/>
  <c r="U20" i="10"/>
  <c r="R20" i="10"/>
  <c r="M19" i="10"/>
  <c r="P19" i="10"/>
  <c r="Q18" i="10"/>
  <c r="U18" i="10"/>
  <c r="R18" i="10"/>
  <c r="M20" i="10"/>
  <c r="L20" i="10"/>
  <c r="M18" i="10"/>
  <c r="L18" i="10"/>
  <c r="L19" i="10"/>
  <c r="I60" i="7" l="1"/>
  <c r="X25" i="10"/>
  <c r="S18" i="10"/>
  <c r="S20" i="10"/>
  <c r="U19" i="10"/>
  <c r="R19" i="10"/>
  <c r="Q19" i="10"/>
  <c r="V20" i="10"/>
  <c r="W20" i="10"/>
  <c r="V18" i="10"/>
  <c r="W18" i="10"/>
  <c r="S19" i="10" l="1"/>
  <c r="S21" i="10" s="1"/>
  <c r="X20" i="10"/>
  <c r="X18" i="10"/>
  <c r="V19" i="10"/>
  <c r="W19" i="10"/>
  <c r="S33" i="10" l="1"/>
  <c r="H18" i="7"/>
  <c r="H20" i="7" s="1"/>
  <c r="H21" i="7" s="1"/>
  <c r="X19" i="10"/>
  <c r="X21" i="10" s="1"/>
  <c r="X33" i="10" s="1"/>
  <c r="I18" i="7" s="1"/>
  <c r="I20" i="7" s="1"/>
  <c r="I21" i="7" s="1"/>
  <c r="I29" i="7" l="1"/>
  <c r="I23" i="7"/>
  <c r="H23" i="7"/>
  <c r="H29" i="7"/>
  <c r="I52" i="7"/>
  <c r="N19" i="10"/>
  <c r="N20" i="10"/>
  <c r="N18" i="10"/>
  <c r="B2" i="10"/>
  <c r="B2" i="7"/>
  <c r="H30" i="7" l="1"/>
  <c r="H25" i="7"/>
  <c r="H24" i="19" s="1"/>
  <c r="H25" i="19" s="1"/>
  <c r="H34" i="19"/>
  <c r="H35" i="19" s="1"/>
  <c r="H52" i="7"/>
  <c r="I30" i="7"/>
  <c r="I25" i="7"/>
  <c r="H27" i="19"/>
  <c r="H26" i="7"/>
  <c r="H27" i="7" s="1"/>
  <c r="I24" i="19"/>
  <c r="I34" i="19"/>
  <c r="I35" i="19" s="1"/>
  <c r="I53" i="7" s="1"/>
  <c r="J21" i="10"/>
  <c r="J33" i="10" s="1"/>
  <c r="N21" i="10"/>
  <c r="E21" i="10"/>
  <c r="E33" i="10" s="1"/>
  <c r="E37" i="10" s="1"/>
  <c r="H54" i="7" l="1"/>
  <c r="H62" i="7" s="1"/>
  <c r="H53" i="7"/>
  <c r="H37" i="19"/>
  <c r="H38" i="19"/>
  <c r="H70" i="7" s="1"/>
  <c r="I37" i="19"/>
  <c r="I25" i="19"/>
  <c r="I38" i="19" s="1"/>
  <c r="I54" i="7"/>
  <c r="I62" i="7" s="1"/>
  <c r="N33" i="10"/>
  <c r="G18" i="7" s="1"/>
  <c r="G20" i="7" s="1"/>
  <c r="G21" i="7" s="1"/>
  <c r="I33" i="10"/>
  <c r="G23" i="7" l="1"/>
  <c r="G29" i="7"/>
  <c r="I27" i="19"/>
  <c r="I26" i="7"/>
  <c r="I27" i="7" s="1"/>
  <c r="I70" i="7"/>
  <c r="F18" i="7"/>
  <c r="K17" i="1"/>
  <c r="G25" i="7" l="1"/>
  <c r="G30" i="7"/>
  <c r="F20" i="7"/>
  <c r="F21" i="7" s="1"/>
  <c r="G52" i="7"/>
  <c r="F29" i="7" l="1"/>
  <c r="F23" i="7"/>
  <c r="G24" i="19"/>
  <c r="G25" i="19" s="1"/>
  <c r="G34" i="19"/>
  <c r="G35" i="19" s="1"/>
  <c r="G26" i="7" l="1"/>
  <c r="G27" i="7" s="1"/>
  <c r="G38" i="19"/>
  <c r="G70" i="7" s="1"/>
  <c r="G53" i="7"/>
  <c r="G54" i="7" s="1"/>
  <c r="G62" i="7" s="1"/>
  <c r="F30" i="7"/>
  <c r="F25" i="7"/>
  <c r="F52" i="7"/>
  <c r="F34" i="19"/>
  <c r="F35" i="19" s="1"/>
  <c r="F53" i="7" s="1"/>
  <c r="G27" i="19"/>
  <c r="G37" i="19"/>
  <c r="F37" i="19" l="1"/>
  <c r="F54" i="7"/>
  <c r="F62" i="7" s="1"/>
  <c r="F24" i="19"/>
  <c r="F25" i="19" s="1"/>
  <c r="F38" i="19" s="1"/>
  <c r="F27" i="19" l="1"/>
  <c r="F70" i="7"/>
  <c r="F26" i="7"/>
  <c r="F27" i="7" s="1"/>
  <c r="F43" i="7" s="1"/>
  <c r="F67" i="7" s="1"/>
  <c r="F71" i="7" l="1"/>
  <c r="F73" i="7" s="1"/>
  <c r="F47" i="7"/>
  <c r="G43" i="7"/>
  <c r="G67" i="7" s="1"/>
  <c r="G71" i="7" s="1"/>
  <c r="G73" i="7" s="1"/>
  <c r="F40" i="7" l="1"/>
  <c r="F41" i="7" s="1"/>
  <c r="F75" i="7" s="1"/>
  <c r="G47" i="7"/>
  <c r="H43" i="7"/>
  <c r="H67" i="7" s="1"/>
  <c r="H71" i="7" s="1"/>
  <c r="H73" i="7" s="1"/>
  <c r="G40" i="7"/>
  <c r="G41" i="7" s="1"/>
  <c r="G75" i="7" l="1"/>
  <c r="H40" i="7"/>
  <c r="H41" i="7" s="1"/>
  <c r="H47" i="7"/>
  <c r="I43" i="7"/>
  <c r="I47" i="7" s="1"/>
  <c r="H75" i="7" l="1"/>
  <c r="I67" i="7"/>
  <c r="I71" i="7" s="1"/>
  <c r="I73" i="7" s="1"/>
  <c r="I40" i="7" s="1"/>
  <c r="I41" i="7" s="1"/>
  <c r="I75"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<sst xmlns="http://schemas.openxmlformats.org/spreadsheetml/2006/main" count="446" uniqueCount="197">
  <si>
    <t>Einde tabblad</t>
  </si>
  <si>
    <t>EBITDA</t>
  </si>
  <si>
    <t>#FTE</t>
  </si>
  <si>
    <t>EBIT</t>
  </si>
  <si>
    <t>EBT</t>
  </si>
  <si>
    <t>Gross salaries</t>
  </si>
  <si>
    <t>Social charges</t>
  </si>
  <si>
    <t>Other</t>
  </si>
  <si>
    <t>Total</t>
  </si>
  <si>
    <t>Junior coffee and cake maker</t>
  </si>
  <si>
    <t>Senior coffee and cake maker</t>
  </si>
  <si>
    <t>Location manager</t>
  </si>
  <si>
    <t>Sales and marketing</t>
  </si>
  <si>
    <t>Operations</t>
  </si>
  <si>
    <t>ICT employee</t>
  </si>
  <si>
    <t>Finance employee</t>
  </si>
  <si>
    <t>HR employee</t>
  </si>
  <si>
    <t>Management</t>
  </si>
  <si>
    <t>Indirect employees</t>
  </si>
  <si>
    <t>Total employee expenses</t>
  </si>
  <si>
    <t>Sales employees</t>
  </si>
  <si>
    <t>Marketing employees</t>
  </si>
  <si>
    <t>Other employee expenses % salaries</t>
  </si>
  <si>
    <t>Annual wage inflation</t>
  </si>
  <si>
    <t>Depreciation</t>
  </si>
  <si>
    <t>Function / department</t>
  </si>
  <si>
    <t>Purchase value</t>
  </si>
  <si>
    <t>Number of years to depreciate</t>
  </si>
  <si>
    <t>Financial Model - Illustrative example</t>
  </si>
  <si>
    <t>Start of tab</t>
  </si>
  <si>
    <t>Average number of coffees per hour</t>
  </si>
  <si>
    <t>Number of hours per day</t>
  </si>
  <si>
    <t>Number of days per week</t>
  </si>
  <si>
    <t>Total # coffees sold per year</t>
  </si>
  <si>
    <t>Revenue - coffee</t>
  </si>
  <si>
    <t>Revenue - cake</t>
  </si>
  <si>
    <t>Total revenue</t>
  </si>
  <si>
    <t>Annual inflation rate</t>
  </si>
  <si>
    <t>Cake-to-coffee ratio</t>
  </si>
  <si>
    <t>Number of cakes sold</t>
  </si>
  <si>
    <t>Coffee</t>
  </si>
  <si>
    <t>Cake</t>
  </si>
  <si>
    <t>End of tab</t>
  </si>
  <si>
    <t>Estimating revenue for a subscription-based business model</t>
  </si>
  <si>
    <t># customers year 1</t>
  </si>
  <si>
    <t># customers year 2</t>
  </si>
  <si>
    <t># customers year 3</t>
  </si>
  <si>
    <t># customers year 4</t>
  </si>
  <si>
    <t>Churn rate</t>
  </si>
  <si>
    <t>Number of customers end of year</t>
  </si>
  <si>
    <t>Average number of customers</t>
  </si>
  <si>
    <t>2-year license fee per new customer (€)</t>
  </si>
  <si>
    <t>Implementation fee per new customer</t>
  </si>
  <si>
    <t>Total revenue (€m)</t>
  </si>
  <si>
    <t>Annual license fee (€)</t>
  </si>
  <si>
    <t>Revenue - licensing (€m)</t>
  </si>
  <si>
    <t>Revenue - consulting (€m)</t>
  </si>
  <si>
    <t>COGS % revenue</t>
  </si>
  <si>
    <t>COGS</t>
  </si>
  <si>
    <t>Revenue coffee</t>
  </si>
  <si>
    <t>Revenue cakes</t>
  </si>
  <si>
    <t>COGS cofffee</t>
  </si>
  <si>
    <t>COGS cakes</t>
  </si>
  <si>
    <t>Total COGS</t>
  </si>
  <si>
    <t>Gross margin coffee (%)</t>
  </si>
  <si>
    <t>Gross margin cakes (%)</t>
  </si>
  <si>
    <t>Total gross margin (%)</t>
  </si>
  <si>
    <t>Revenue per FTE</t>
  </si>
  <si>
    <t>Rent</t>
  </si>
  <si>
    <t>Revenue</t>
  </si>
  <si>
    <t>Other costs</t>
  </si>
  <si>
    <t>Total other expenses</t>
  </si>
  <si>
    <t>Other expenses % revenue</t>
  </si>
  <si>
    <t>Cost inflation</t>
  </si>
  <si>
    <t>Other expenses</t>
  </si>
  <si>
    <t>Employee expenses</t>
  </si>
  <si>
    <t>Social charges % gross salaries</t>
  </si>
  <si>
    <t>Financial statements</t>
  </si>
  <si>
    <t>Fixed assets</t>
  </si>
  <si>
    <t>Inventory</t>
  </si>
  <si>
    <t>Account receivables</t>
  </si>
  <si>
    <t>Account payables</t>
  </si>
  <si>
    <t>Cash</t>
  </si>
  <si>
    <t>Other expenses and corporate income tax</t>
  </si>
  <si>
    <t>COGS coffee</t>
  </si>
  <si>
    <t>COGS cake</t>
  </si>
  <si>
    <t>Revenue cake</t>
  </si>
  <si>
    <t>Total costs</t>
  </si>
  <si>
    <t>Tax</t>
  </si>
  <si>
    <t>Net income after tax</t>
  </si>
  <si>
    <t>Equipment</t>
  </si>
  <si>
    <t>Annual depreciation</t>
  </si>
  <si>
    <t>Baseline fixed assets - book value</t>
  </si>
  <si>
    <t>Baseline fixed assets - depreciation</t>
  </si>
  <si>
    <t>EBT &lt;= €200.000</t>
  </si>
  <si>
    <t>EBT &gt; €200.000</t>
  </si>
  <si>
    <t>Effective tax rate</t>
  </si>
  <si>
    <t>EBITDA % revenue</t>
  </si>
  <si>
    <t>EBIT % revenue</t>
  </si>
  <si>
    <t>Profit-and-loss statement</t>
  </si>
  <si>
    <t>Investments and depreciation</t>
  </si>
  <si>
    <t>Total assets</t>
  </si>
  <si>
    <t>Equity</t>
  </si>
  <si>
    <t>Debt</t>
  </si>
  <si>
    <t>Other liabilities</t>
  </si>
  <si>
    <t>Other assets</t>
  </si>
  <si>
    <t>Total liabilities</t>
  </si>
  <si>
    <t>Price per cup excluding VAT</t>
  </si>
  <si>
    <t>Price per cup including VAT</t>
  </si>
  <si>
    <t>VAT</t>
  </si>
  <si>
    <t>Price per cake excluding VAT</t>
  </si>
  <si>
    <t>Price per cake including VAT</t>
  </si>
  <si>
    <t>Working capital</t>
  </si>
  <si>
    <t>Equipment (#)</t>
  </si>
  <si>
    <t>Bookvalue new investments</t>
  </si>
  <si>
    <t>Depreciation new investments</t>
  </si>
  <si>
    <t>DIO</t>
  </si>
  <si>
    <t>DSO</t>
  </si>
  <si>
    <t>DPO</t>
  </si>
  <si>
    <t>Other assets % revenue</t>
  </si>
  <si>
    <t>Other liabilities % revenue</t>
  </si>
  <si>
    <t>Total amount</t>
  </si>
  <si>
    <t>Loan 1</t>
  </si>
  <si>
    <t>Interest rate</t>
  </si>
  <si>
    <t>Debt end of year</t>
  </si>
  <si>
    <t>Debt start of year</t>
  </si>
  <si>
    <t>Interest payment</t>
  </si>
  <si>
    <t>Annual payment (due end-of-year)</t>
  </si>
  <si>
    <t>Tax shield</t>
  </si>
  <si>
    <t>NOPLAT</t>
  </si>
  <si>
    <t>Change in inventory</t>
  </si>
  <si>
    <t>Change in other assets</t>
  </si>
  <si>
    <t>Change in other liabilities</t>
  </si>
  <si>
    <t>Change in working capital</t>
  </si>
  <si>
    <t>Investments</t>
  </si>
  <si>
    <t>Change in debt</t>
  </si>
  <si>
    <t>Interest expenses</t>
  </si>
  <si>
    <t>Total cash flow</t>
  </si>
  <si>
    <t>a) Investments</t>
  </si>
  <si>
    <t>b) Fixed assets</t>
  </si>
  <si>
    <t>c) Depreciation</t>
  </si>
  <si>
    <t>Free cash flow</t>
  </si>
  <si>
    <t>Discount factor @10%</t>
  </si>
  <si>
    <t>Discounted cash flow</t>
  </si>
  <si>
    <t>Check assets = liabilities</t>
  </si>
  <si>
    <t>Not applicable in this example - these items can be based on the asset register (no drivers required, based on actual figures)</t>
  </si>
  <si>
    <t>Year 1</t>
  </si>
  <si>
    <t>Year 2</t>
  </si>
  <si>
    <t>Year 3</t>
  </si>
  <si>
    <t>Year 4</t>
  </si>
  <si>
    <t>Net present value per start of Year 1</t>
  </si>
  <si>
    <t>Discounting cash flows</t>
  </si>
  <si>
    <t>Tax  shield (€)</t>
  </si>
  <si>
    <t>Start of Year</t>
  </si>
  <si>
    <t>New investments - Year 1</t>
  </si>
  <si>
    <t>New investments - Year 3</t>
  </si>
  <si>
    <t>Corporate income tax (CIT) on EBT</t>
  </si>
  <si>
    <t>Corporate income tax (CIT) on EBIT</t>
  </si>
  <si>
    <t>Discount rate</t>
  </si>
  <si>
    <t>Years</t>
  </si>
  <si>
    <t>KPI box</t>
  </si>
  <si>
    <t>Model output</t>
  </si>
  <si>
    <t>Gross profit</t>
  </si>
  <si>
    <t>a) Cash flow from operating activities</t>
  </si>
  <si>
    <t>b) Cash flow from investment activities</t>
  </si>
  <si>
    <t>c) Cash flow from financing activities</t>
  </si>
  <si>
    <t>Add back depreciation</t>
  </si>
  <si>
    <t>Tax on EBIT</t>
  </si>
  <si>
    <t>Balance sheet (standard lay-out)</t>
  </si>
  <si>
    <t>Cash flow statement</t>
  </si>
  <si>
    <t>Change in equity (e.g. dividend)</t>
  </si>
  <si>
    <t>© X-ASTRiS</t>
  </si>
  <si>
    <t>www.x-astris.nl</t>
  </si>
  <si>
    <t>Net present value calculation example</t>
  </si>
  <si>
    <t>Revenue estimate for a SaaS business model</t>
  </si>
  <si>
    <t>Appendix B.1</t>
  </si>
  <si>
    <t>Appendix B.2</t>
  </si>
  <si>
    <t>Number of weeks per year</t>
  </si>
  <si>
    <t>EBIT &lt;= €200.000</t>
  </si>
  <si>
    <t>EBIT &gt; €200.000</t>
  </si>
  <si>
    <t>Accounts receivable</t>
  </si>
  <si>
    <t>Change in accounts receivable</t>
  </si>
  <si>
    <t>Accounts payable</t>
  </si>
  <si>
    <t>Change in accounts payable</t>
  </si>
  <si>
    <t>Modeling the coffee revenue of your coffee shop</t>
  </si>
  <si>
    <t>Modeling the cake revenue of your coffee shop</t>
  </si>
  <si>
    <t>Modeling COGS of your coffee shop</t>
  </si>
  <si>
    <t>Modeling employee expenses - FTE-based estimate</t>
  </si>
  <si>
    <t>Modeling other expenses of your coffee shop</t>
  </si>
  <si>
    <t>Modeling investments, depreciation, and fixed assets for your coffee shop</t>
  </si>
  <si>
    <t>Modeling working capital items for your coffee shop</t>
  </si>
  <si>
    <t>Modeling debt items and interest payments for your coffee shop</t>
  </si>
  <si>
    <t>Modeling corporate income tax on EBT for your coffee shop</t>
  </si>
  <si>
    <t>Modeling corporate income tax on EBIT and the tax shield for your coffee shop</t>
  </si>
  <si>
    <t>Value-Based Cash Flow Modeling - A Practical Guide</t>
  </si>
  <si>
    <t>By: Carlo Fiscalini</t>
  </si>
  <si>
    <t>Case Templates - Illustrative examples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</si>
</sst>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_ * #,##0_ ;_ * \-#,##0_ ;_ * &quot;-&quot;??_ ;_ @_ "/>
    <numFmt numFmtId="165" formatCode="_ * #,##0_ ;_ * \(#,##0\)_ ;_ * &quot;-&quot;??_ ;_ @_ "/>
    <numFmt numFmtId="166" formatCode="_ * #,##0.0_ ;_ * \(#,##0.0\)_ ;_ * &quot;-&quot;??_ ;_ @_ "/>
    <numFmt numFmtId="167" formatCode="_ * #,##0.00_ ;_ * \(#,##0.00\)_ ;_ * &quot;-&quot;??_ ;_ @_ "/>
    <numFmt numFmtId="168" formatCode="0.0%"/>
    <numFmt numFmtId="169" formatCode="_(* #,##0.0_);_(* \(#,##0.0\);_(* &quot; - &quot;_);_(@_)"/>
    <numFmt numFmtId="170" formatCode="_(* #,##0_);_(* \(#,##0\);_(* &quot; - &quot;_);_(@_)"/>
    <numFmt numFmtId="171" formatCode="_ * #,##0.0_ ;_ * \-#,##0.0_ ;_ * &quot;-&quot;?_ ;_ @_ "/>
  </numFmts>
  <fonts count="49" x14ac:knownFonts="1">
    <font>
      <sz val="11"/>
      <color theme="1"/>
      <name val="Calibri"/>
      <family val="2"/>
      <scheme val="minor"/>
    </font>
    <font>
      <sz val="8"/>
      <color theme="1"/>
      <name val="Arial"/>
      <family val="2"/>
    </font>
    <font>
      <sz val="8"/>
      <color theme="1"/>
      <name val="Arial"/>
      <family val="2"/>
    </font>
    <font>
      <sz val="8"/>
      <color theme="1"/>
      <name val="Arial"/>
      <family val="2"/>
    </font>
    <font>
      <sz val="11"/>
      <color theme="1"/>
      <name val="Calibri"/>
      <family val="2"/>
      <scheme val="minor"/>
    </font>
    <font>
      <b/>
      <sz val="10"/>
      <color theme="1"/>
      <name val="Arial"/>
      <family val="2"/>
    </font>
    <font>
      <sz val="8"/>
      <color theme="1"/>
      <name val="Arial"/>
      <family val="2"/>
    </font>
    <font>
      <b/>
      <sz val="8"/>
      <color theme="1"/>
      <name val="Arial"/>
      <family val="2"/>
    </font>
    <font>
      <sz val="8"/>
      <color theme="0"/>
      <name val="Arial"/>
      <family val="2"/>
    </font>
    <font>
      <i/>
      <sz val="8"/>
      <color theme="1"/>
      <name val="Arial"/>
      <family val="2"/>
    </font>
    <font>
      <b/>
      <sz val="8"/>
      <color theme="0"/>
      <name val="Arial"/>
      <family val="2"/>
    </font>
    <font>
      <sz val="8"/>
      <name val="Arial"/>
      <family val="2"/>
    </font>
    <font>
      <b/>
      <sz val="8"/>
      <name val="Arial"/>
      <family val="2"/>
    </font>
    <font>
      <sz val="8"/>
      <name val="Calibri"/>
      <family val="2"/>
      <scheme val="minor"/>
    </font>
    <font>
      <sz val="11"/>
      <color rgb="FFFF0000"/>
      <name val="Calibri"/>
      <family val="2"/>
      <scheme val="minor"/>
    </font>
    <font>
      <sz val="11"/>
      <color theme="1"/>
      <name val="Arial Nova"/>
      <family val="2"/>
    </font>
    <font>
      <sz val="11"/>
      <color theme="0"/>
      <name val="Arial Nova"/>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i/>
      <sz val="8"/>
      <color theme="0"/>
      <name val="Arial"/>
      <family val="2"/>
    </font>
    <font>
      <b/>
      <sz val="9"/>
      <color theme="1"/>
      <name val="Arial"/>
      <family val="2"/>
    </font>
    <font>
      <u val="singleAccounting"/>
      <sz val="8"/>
      <name val="Arial"/>
      <family val="2"/>
    </font>
    <font>
      <b/>
      <u val="doubleAccounting"/>
      <sz val="8"/>
      <name val="Arial"/>
      <family val="2"/>
    </font>
    <font>
      <u val="singleAccounting"/>
      <sz val="8"/>
      <color theme="1"/>
      <name val="Arial"/>
      <family val="2"/>
    </font>
    <font>
      <u/>
      <sz val="8"/>
      <name val="Arial"/>
      <family val="2"/>
    </font>
    <font>
      <b/>
      <u val="doubleAccounting"/>
      <sz val="8"/>
      <color theme="1"/>
      <name val="Arial"/>
      <family val="2"/>
    </font>
    <font>
      <i/>
      <sz val="8"/>
      <name val="Arial"/>
      <family val="2"/>
    </font>
    <font>
      <u val="doubleAccounting"/>
      <sz val="8"/>
      <color theme="1"/>
      <name val="Arial"/>
      <family val="2"/>
    </font>
    <font>
      <u val="singleAccounting"/>
      <sz val="8"/>
      <color theme="0"/>
      <name val="Arial"/>
      <family val="2"/>
    </font>
    <font>
      <b/>
      <u val="singleAccounting"/>
      <sz val="8"/>
      <color theme="0"/>
      <name val="Arial"/>
      <family val="2"/>
    </font>
    <font>
      <b/>
      <u val="singleAccounting"/>
      <sz val="8"/>
      <color theme="1"/>
      <name val="Arial"/>
      <family val="2"/>
    </font>
    <font>
      <u/>
      <sz val="8"/>
      <color theme="1"/>
      <name val="Arial"/>
      <family val="2"/>
    </font>
    <font>
      <u/>
      <sz val="11"/>
      <color theme="10"/>
      <name val="Calibri"/>
      <family val="2"/>
      <scheme val="minor"/>
    </font>
    <font>
      <sz val="10"/>
      <color theme="1"/>
      <name val="Arial"/>
      <family val="2"/>
    </font>
    <font>
      <u/>
      <sz val="10"/>
      <color theme="10"/>
      <name val="Calibri"/>
      <family val="2"/>
      <scheme val="minor"/>
    </font>
    <font>
      <sz val="18"/>
      <color theme="1"/>
      <name val="Arial"/>
      <family val="2"/>
    </font>
  </fonts>
  <fills count="37">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7" tint="0.7999816888943144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0">
    <border>
      <left/>
      <right/>
      <top/>
      <bottom/>
      <diagonal/>
    </border>
    <border>
      <left/>
      <right/>
      <top/>
      <bottom style="thin">
        <color indexed="64"/>
      </bottom>
      <diagonal/>
    </border>
    <border>
      <left style="thin">
        <color indexed="64"/>
      </left>
      <right/>
      <top/>
      <bottom/>
      <diagonal/>
    </border>
    <border>
      <left style="thick">
        <color theme="0"/>
      </left>
      <right/>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Dashed">
        <color indexed="64"/>
      </left>
      <right style="mediumDashed">
        <color indexed="64"/>
      </right>
      <top style="mediumDashed">
        <color indexed="64"/>
      </top>
      <bottom style="mediumDashed">
        <color indexed="64"/>
      </bottom>
      <diagonal/>
    </border>
    <border>
      <left style="mediumDashed">
        <color indexed="64"/>
      </left>
      <right/>
      <top style="mediumDashed">
        <color indexed="64"/>
      </top>
      <bottom style="mediumDashed">
        <color indexed="64"/>
      </bottom>
      <diagonal/>
    </border>
    <border>
      <left/>
      <right style="mediumDashed">
        <color indexed="64"/>
      </right>
      <top style="mediumDashed">
        <color indexed="64"/>
      </top>
      <bottom style="mediumDashed">
        <color indexed="64"/>
      </bottom>
      <diagonal/>
    </border>
  </borders>
  <cellStyleXfs count="45">
    <xf numFmtId="0" fontId="0" fillId="0" borderId="0"/>
    <xf numFmtId="43" fontId="4" fillId="0" borderId="0" applyFont="0" applyFill="0" applyBorder="0" applyAlignment="0" applyProtection="0"/>
    <xf numFmtId="9" fontId="4" fillId="0" borderId="0" applyFont="0" applyFill="0" applyBorder="0" applyAlignment="0" applyProtection="0"/>
    <xf numFmtId="0" fontId="17" fillId="0" borderId="0" applyNumberFormat="0" applyFill="0" applyBorder="0" applyAlignment="0" applyProtection="0"/>
    <xf numFmtId="0" fontId="18" fillId="0" borderId="16" applyNumberFormat="0" applyFill="0" applyAlignment="0" applyProtection="0"/>
    <xf numFmtId="0" fontId="19" fillId="0" borderId="17" applyNumberFormat="0" applyFill="0" applyAlignment="0" applyProtection="0"/>
    <xf numFmtId="0" fontId="20" fillId="0" borderId="18" applyNumberFormat="0" applyFill="0" applyAlignment="0" applyProtection="0"/>
    <xf numFmtId="0" fontId="20" fillId="0" borderId="0" applyNumberFormat="0" applyFill="0" applyBorder="0" applyAlignment="0" applyProtection="0"/>
    <xf numFmtId="0" fontId="21" fillId="6" borderId="0" applyNumberFormat="0" applyBorder="0" applyAlignment="0" applyProtection="0"/>
    <xf numFmtId="0" fontId="22" fillId="7" borderId="0" applyNumberFormat="0" applyBorder="0" applyAlignment="0" applyProtection="0"/>
    <xf numFmtId="0" fontId="23" fillId="8" borderId="0" applyNumberFormat="0" applyBorder="0" applyAlignment="0" applyProtection="0"/>
    <xf numFmtId="0" fontId="24" fillId="9" borderId="19" applyNumberFormat="0" applyAlignment="0" applyProtection="0"/>
    <xf numFmtId="0" fontId="25" fillId="10" borderId="20" applyNumberFormat="0" applyAlignment="0" applyProtection="0"/>
    <xf numFmtId="0" fontId="26" fillId="10" borderId="19" applyNumberFormat="0" applyAlignment="0" applyProtection="0"/>
    <xf numFmtId="0" fontId="27" fillId="0" borderId="21" applyNumberFormat="0" applyFill="0" applyAlignment="0" applyProtection="0"/>
    <xf numFmtId="0" fontId="28" fillId="11" borderId="22" applyNumberFormat="0" applyAlignment="0" applyProtection="0"/>
    <xf numFmtId="0" fontId="14" fillId="0" borderId="0" applyNumberFormat="0" applyFill="0" applyBorder="0" applyAlignment="0" applyProtection="0"/>
    <xf numFmtId="0" fontId="4" fillId="12" borderId="23" applyNumberFormat="0" applyFont="0" applyAlignment="0" applyProtection="0"/>
    <xf numFmtId="0" fontId="29" fillId="0" borderId="0" applyNumberFormat="0" applyFill="0" applyBorder="0" applyAlignment="0" applyProtection="0"/>
    <xf numFmtId="0" fontId="30" fillId="0" borderId="24" applyNumberFormat="0" applyFill="0" applyAlignment="0" applyProtection="0"/>
    <xf numFmtId="0" fontId="31"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31"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31"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31"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31"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31"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5" fillId="0" borderId="0" applyNumberFormat="0" applyFill="0" applyBorder="0" applyAlignment="0" applyProtection="0"/>
  </cellStyleXfs>
  <cellXfs count="169">
    <xf numFmtId="0" fontId="0" fillId="0" borderId="0" xfId="0"/>
    <xf numFmtId="14" fontId="6" fillId="0" borderId="0" xfId="0" applyNumberFormat="1" applyFont="1"/>
    <xf numFmtId="0" fontId="6" fillId="0" borderId="0" xfId="0" applyFont="1"/>
    <xf numFmtId="0" fontId="7" fillId="0" borderId="0" xfId="0" applyFont="1"/>
    <xf numFmtId="0" fontId="5" fillId="0" borderId="1" xfId="0" applyFont="1" applyBorder="1"/>
    <xf numFmtId="0" fontId="6" fillId="0" borderId="1" xfId="0" applyFont="1" applyBorder="1"/>
    <xf numFmtId="14" fontId="6" fillId="0" borderId="1" xfId="0" applyNumberFormat="1" applyFont="1" applyBorder="1"/>
    <xf numFmtId="0" fontId="6" fillId="2" borderId="0" xfId="0" applyFont="1" applyFill="1"/>
    <xf numFmtId="0" fontId="8" fillId="2" borderId="0" xfId="0" applyFont="1" applyFill="1"/>
    <xf numFmtId="0" fontId="7" fillId="0" borderId="1" xfId="0" applyFont="1" applyBorder="1"/>
    <xf numFmtId="0" fontId="6" fillId="3" borderId="0" xfId="0" applyFont="1" applyFill="1"/>
    <xf numFmtId="0" fontId="7" fillId="3" borderId="0" xfId="0" applyFont="1" applyFill="1"/>
    <xf numFmtId="0" fontId="7" fillId="3" borderId="3" xfId="0" applyFont="1" applyFill="1" applyBorder="1"/>
    <xf numFmtId="164" fontId="6" fillId="0" borderId="0" xfId="0" applyNumberFormat="1" applyFont="1"/>
    <xf numFmtId="0" fontId="10" fillId="0" borderId="0" xfId="0" applyFont="1"/>
    <xf numFmtId="1" fontId="6" fillId="0" borderId="0" xfId="0" applyNumberFormat="1" applyFont="1"/>
    <xf numFmtId="164" fontId="6" fillId="0" borderId="0" xfId="1" applyNumberFormat="1" applyFont="1" applyFill="1" applyBorder="1"/>
    <xf numFmtId="0" fontId="11" fillId="0" borderId="4" xfId="0" applyFont="1" applyBorder="1"/>
    <xf numFmtId="0" fontId="9" fillId="0" borderId="5" xfId="0" applyFont="1" applyBorder="1"/>
    <xf numFmtId="0" fontId="9" fillId="0" borderId="6" xfId="0" applyFont="1" applyBorder="1"/>
    <xf numFmtId="0" fontId="10" fillId="2" borderId="0" xfId="0" applyFont="1" applyFill="1"/>
    <xf numFmtId="0" fontId="10" fillId="2" borderId="0" xfId="0" applyFont="1" applyFill="1" applyAlignment="1">
      <alignment horizontal="right"/>
    </xf>
    <xf numFmtId="0" fontId="9" fillId="0" borderId="10" xfId="0" applyFont="1" applyBorder="1"/>
    <xf numFmtId="0" fontId="11" fillId="0" borderId="1" xfId="0" applyFont="1" applyBorder="1"/>
    <xf numFmtId="43" fontId="6" fillId="0" borderId="0" xfId="0" applyNumberFormat="1" applyFont="1"/>
    <xf numFmtId="9" fontId="9" fillId="0" borderId="11" xfId="2" applyFont="1" applyFill="1" applyBorder="1"/>
    <xf numFmtId="9" fontId="9" fillId="0" borderId="12" xfId="2" applyFont="1" applyFill="1" applyBorder="1"/>
    <xf numFmtId="164" fontId="7" fillId="0" borderId="0" xfId="0" applyNumberFormat="1" applyFont="1"/>
    <xf numFmtId="165" fontId="7" fillId="0" borderId="0" xfId="0" applyNumberFormat="1" applyFont="1"/>
    <xf numFmtId="165" fontId="15" fillId="0" borderId="0" xfId="0" applyNumberFormat="1" applyFont="1"/>
    <xf numFmtId="165" fontId="16" fillId="2" borderId="0" xfId="0" applyNumberFormat="1" applyFont="1" applyFill="1"/>
    <xf numFmtId="165" fontId="10" fillId="2" borderId="0" xfId="0" applyNumberFormat="1" applyFont="1" applyFill="1" applyAlignment="1">
      <alignment horizontal="right"/>
    </xf>
    <xf numFmtId="165" fontId="6" fillId="0" borderId="0" xfId="0" applyNumberFormat="1" applyFont="1"/>
    <xf numFmtId="165" fontId="6" fillId="0" borderId="0" xfId="1" applyNumberFormat="1" applyFont="1" applyFill="1" applyBorder="1"/>
    <xf numFmtId="165" fontId="6" fillId="0" borderId="0" xfId="1" applyNumberFormat="1" applyFont="1" applyBorder="1"/>
    <xf numFmtId="165" fontId="9" fillId="0" borderId="5" xfId="0" applyNumberFormat="1" applyFont="1" applyBorder="1"/>
    <xf numFmtId="165" fontId="9" fillId="0" borderId="4" xfId="0" applyNumberFormat="1" applyFont="1" applyBorder="1"/>
    <xf numFmtId="165" fontId="9" fillId="0" borderId="2" xfId="0" applyNumberFormat="1" applyFont="1" applyBorder="1"/>
    <xf numFmtId="165" fontId="9" fillId="0" borderId="6" xfId="0" applyNumberFormat="1" applyFont="1" applyBorder="1"/>
    <xf numFmtId="165" fontId="9" fillId="0" borderId="1" xfId="0" applyNumberFormat="1" applyFont="1" applyBorder="1"/>
    <xf numFmtId="165" fontId="9" fillId="0" borderId="11" xfId="0" applyNumberFormat="1" applyFont="1" applyBorder="1"/>
    <xf numFmtId="166" fontId="6" fillId="0" borderId="0" xfId="0" applyNumberFormat="1" applyFont="1"/>
    <xf numFmtId="166" fontId="6" fillId="5" borderId="0" xfId="1" applyNumberFormat="1" applyFont="1" applyFill="1" applyBorder="1"/>
    <xf numFmtId="166" fontId="6" fillId="0" borderId="0" xfId="1" applyNumberFormat="1" applyFont="1" applyFill="1" applyBorder="1"/>
    <xf numFmtId="166" fontId="10" fillId="2" borderId="0" xfId="0" applyNumberFormat="1" applyFont="1" applyFill="1"/>
    <xf numFmtId="166" fontId="10" fillId="2" borderId="0" xfId="0" applyNumberFormat="1" applyFont="1" applyFill="1" applyAlignment="1">
      <alignment horizontal="right"/>
    </xf>
    <xf numFmtId="166" fontId="12" fillId="0" borderId="0" xfId="1" applyNumberFormat="1" applyFont="1" applyBorder="1"/>
    <xf numFmtId="165" fontId="6" fillId="5" borderId="0" xfId="1" applyNumberFormat="1" applyFont="1" applyFill="1" applyBorder="1"/>
    <xf numFmtId="165" fontId="12" fillId="0" borderId="0" xfId="1" applyNumberFormat="1" applyFont="1" applyBorder="1"/>
    <xf numFmtId="165" fontId="7" fillId="0" borderId="0" xfId="1" applyNumberFormat="1" applyFont="1"/>
    <xf numFmtId="165" fontId="9" fillId="0" borderId="10" xfId="0" applyNumberFormat="1" applyFont="1" applyBorder="1"/>
    <xf numFmtId="165" fontId="11" fillId="0" borderId="0" xfId="1" applyNumberFormat="1" applyFont="1" applyBorder="1"/>
    <xf numFmtId="165" fontId="11" fillId="0" borderId="0" xfId="1" applyNumberFormat="1" applyFont="1" applyFill="1" applyBorder="1"/>
    <xf numFmtId="0" fontId="32" fillId="2" borderId="0" xfId="0" applyFont="1" applyFill="1" applyAlignment="1">
      <alignment horizontal="right"/>
    </xf>
    <xf numFmtId="165" fontId="7" fillId="0" borderId="0" xfId="1" applyNumberFormat="1" applyFont="1" applyFill="1" applyBorder="1"/>
    <xf numFmtId="169" fontId="11" fillId="0" borderId="0" xfId="0" quotePrefix="1" applyNumberFormat="1" applyFont="1" applyAlignment="1">
      <alignment horizontal="right" vertical="center"/>
    </xf>
    <xf numFmtId="0" fontId="7" fillId="3" borderId="0" xfId="0" applyFont="1" applyFill="1" applyAlignment="1">
      <alignment vertical="center"/>
    </xf>
    <xf numFmtId="0" fontId="6" fillId="0" borderId="0" xfId="0" applyFont="1" applyAlignment="1">
      <alignment vertical="center"/>
    </xf>
    <xf numFmtId="166" fontId="6" fillId="0" borderId="0" xfId="0" applyNumberFormat="1" applyFont="1" applyAlignment="1">
      <alignment vertical="center"/>
    </xf>
    <xf numFmtId="0" fontId="33" fillId="0" borderId="0" xfId="0" applyFont="1" applyAlignment="1">
      <alignment vertical="center"/>
    </xf>
    <xf numFmtId="170" fontId="11" fillId="0" borderId="0" xfId="0" quotePrefix="1" applyNumberFormat="1" applyFont="1" applyAlignment="1">
      <alignment horizontal="right" vertical="center"/>
    </xf>
    <xf numFmtId="169" fontId="34" fillId="0" borderId="0" xfId="0" quotePrefix="1" applyNumberFormat="1" applyFont="1" applyAlignment="1">
      <alignment horizontal="right" vertical="center"/>
    </xf>
    <xf numFmtId="170" fontId="35" fillId="0" borderId="0" xfId="0" quotePrefix="1" applyNumberFormat="1" applyFont="1" applyAlignment="1">
      <alignment horizontal="right" vertical="center"/>
    </xf>
    <xf numFmtId="165" fontId="36" fillId="0" borderId="0" xfId="0" applyNumberFormat="1" applyFont="1"/>
    <xf numFmtId="170" fontId="11" fillId="0" borderId="4" xfId="0" quotePrefix="1" applyNumberFormat="1" applyFont="1" applyBorder="1" applyAlignment="1">
      <alignment horizontal="right" vertical="center"/>
    </xf>
    <xf numFmtId="170" fontId="11" fillId="0" borderId="7" xfId="0" quotePrefix="1" applyNumberFormat="1" applyFont="1" applyBorder="1" applyAlignment="1">
      <alignment horizontal="right" vertical="center"/>
    </xf>
    <xf numFmtId="170" fontId="11" fillId="0" borderId="1" xfId="0" quotePrefix="1" applyNumberFormat="1" applyFont="1" applyBorder="1" applyAlignment="1">
      <alignment horizontal="right" vertical="center"/>
    </xf>
    <xf numFmtId="170" fontId="11" fillId="0" borderId="9" xfId="0" quotePrefix="1" applyNumberFormat="1" applyFont="1" applyBorder="1" applyAlignment="1">
      <alignment horizontal="right" vertical="center"/>
    </xf>
    <xf numFmtId="165" fontId="6" fillId="0" borderId="0" xfId="0" applyNumberFormat="1" applyFont="1" applyAlignment="1">
      <alignment horizontal="left" indent="1"/>
    </xf>
    <xf numFmtId="169" fontId="12" fillId="0" borderId="0" xfId="0" quotePrefix="1" applyNumberFormat="1" applyFont="1" applyAlignment="1">
      <alignment horizontal="right" vertical="center"/>
    </xf>
    <xf numFmtId="169" fontId="35" fillId="0" borderId="0" xfId="0" quotePrefix="1" applyNumberFormat="1" applyFont="1" applyAlignment="1">
      <alignment horizontal="right" vertical="center"/>
    </xf>
    <xf numFmtId="171" fontId="6" fillId="0" borderId="0" xfId="0" applyNumberFormat="1" applyFont="1"/>
    <xf numFmtId="167" fontId="36" fillId="0" borderId="0" xfId="1" applyNumberFormat="1" applyFont="1"/>
    <xf numFmtId="165" fontId="38" fillId="0" borderId="0" xfId="1" applyNumberFormat="1" applyFont="1"/>
    <xf numFmtId="165" fontId="9" fillId="0" borderId="0" xfId="0" applyNumberFormat="1" applyFont="1"/>
    <xf numFmtId="9" fontId="6" fillId="4" borderId="0" xfId="2" applyFont="1" applyFill="1" applyBorder="1"/>
    <xf numFmtId="170" fontId="12" fillId="0" borderId="0" xfId="0" quotePrefix="1" applyNumberFormat="1" applyFont="1" applyAlignment="1">
      <alignment horizontal="right" vertical="center"/>
    </xf>
    <xf numFmtId="9" fontId="36" fillId="0" borderId="0" xfId="0" applyNumberFormat="1" applyFont="1"/>
    <xf numFmtId="170" fontId="34" fillId="0" borderId="0" xfId="0" quotePrefix="1" applyNumberFormat="1" applyFont="1" applyAlignment="1">
      <alignment horizontal="right" vertical="center"/>
    </xf>
    <xf numFmtId="9" fontId="39" fillId="0" borderId="4" xfId="2" quotePrefix="1" applyFont="1" applyBorder="1" applyAlignment="1">
      <alignment horizontal="right" vertical="center"/>
    </xf>
    <xf numFmtId="9" fontId="39" fillId="0" borderId="7" xfId="2" quotePrefix="1" applyFont="1" applyBorder="1" applyAlignment="1">
      <alignment horizontal="right" vertical="center"/>
    </xf>
    <xf numFmtId="9" fontId="39" fillId="0" borderId="0" xfId="2" quotePrefix="1" applyFont="1" applyBorder="1" applyAlignment="1">
      <alignment horizontal="right" vertical="center"/>
    </xf>
    <xf numFmtId="9" fontId="39" fillId="0" borderId="8" xfId="2" quotePrefix="1" applyFont="1" applyBorder="1" applyAlignment="1">
      <alignment horizontal="right" vertical="center"/>
    </xf>
    <xf numFmtId="9" fontId="39" fillId="0" borderId="1" xfId="2" quotePrefix="1" applyFont="1" applyBorder="1" applyAlignment="1">
      <alignment horizontal="right" vertical="center"/>
    </xf>
    <xf numFmtId="9" fontId="39" fillId="0" borderId="9" xfId="2" quotePrefix="1" applyFont="1" applyBorder="1" applyAlignment="1">
      <alignment horizontal="right" vertical="center"/>
    </xf>
    <xf numFmtId="0" fontId="12" fillId="0" borderId="0" xfId="0" applyFont="1"/>
    <xf numFmtId="0" fontId="11" fillId="0" borderId="0" xfId="0" applyFont="1"/>
    <xf numFmtId="0" fontId="6" fillId="0" borderId="0" xfId="0" applyFont="1" applyAlignment="1">
      <alignment horizontal="left" indent="1"/>
    </xf>
    <xf numFmtId="166" fontId="6" fillId="4" borderId="0" xfId="1" applyNumberFormat="1" applyFont="1" applyFill="1" applyBorder="1"/>
    <xf numFmtId="165" fontId="6" fillId="4" borderId="0" xfId="1" applyNumberFormat="1" applyFont="1" applyFill="1" applyBorder="1"/>
    <xf numFmtId="165" fontId="11" fillId="0" borderId="0" xfId="0" applyNumberFormat="1" applyFont="1"/>
    <xf numFmtId="166" fontId="36" fillId="4" borderId="0" xfId="1" applyNumberFormat="1" applyFont="1" applyFill="1" applyBorder="1"/>
    <xf numFmtId="165" fontId="36" fillId="4" borderId="0" xfId="1" applyNumberFormat="1" applyFont="1" applyFill="1" applyBorder="1"/>
    <xf numFmtId="165" fontId="36" fillId="0" borderId="0" xfId="1" applyNumberFormat="1" applyFont="1" applyFill="1" applyBorder="1"/>
    <xf numFmtId="166" fontId="38" fillId="0" borderId="0" xfId="0" applyNumberFormat="1" applyFont="1"/>
    <xf numFmtId="165" fontId="40" fillId="0" borderId="0" xfId="0" applyNumberFormat="1" applyFont="1"/>
    <xf numFmtId="165" fontId="38" fillId="0" borderId="0" xfId="0" applyNumberFormat="1" applyFont="1"/>
    <xf numFmtId="0" fontId="9" fillId="0" borderId="0" xfId="0" applyFont="1"/>
    <xf numFmtId="165" fontId="9" fillId="0" borderId="0" xfId="1" applyNumberFormat="1" applyFont="1" applyBorder="1"/>
    <xf numFmtId="165" fontId="9" fillId="0" borderId="12" xfId="1" applyNumberFormat="1" applyFont="1" applyBorder="1"/>
    <xf numFmtId="9" fontId="11" fillId="4" borderId="0" xfId="2" quotePrefix="1" applyFont="1" applyFill="1" applyBorder="1" applyAlignment="1">
      <alignment horizontal="right" vertical="center"/>
    </xf>
    <xf numFmtId="169" fontId="11" fillId="4" borderId="0" xfId="0" quotePrefix="1" applyNumberFormat="1" applyFont="1" applyFill="1" applyAlignment="1">
      <alignment horizontal="right" vertical="center"/>
    </xf>
    <xf numFmtId="170" fontId="11" fillId="4" borderId="0" xfId="0" quotePrefix="1" applyNumberFormat="1" applyFont="1" applyFill="1" applyAlignment="1">
      <alignment horizontal="right" vertical="center"/>
    </xf>
    <xf numFmtId="170" fontId="37" fillId="0" borderId="0" xfId="0" quotePrefix="1" applyNumberFormat="1" applyFont="1" applyAlignment="1">
      <alignment horizontal="right" vertical="center"/>
    </xf>
    <xf numFmtId="170" fontId="34" fillId="4" borderId="0" xfId="0" quotePrefix="1" applyNumberFormat="1" applyFont="1" applyFill="1" applyAlignment="1">
      <alignment horizontal="right" vertical="center"/>
    </xf>
    <xf numFmtId="170" fontId="41" fillId="0" borderId="0" xfId="0" quotePrefix="1" applyNumberFormat="1" applyFont="1" applyAlignment="1">
      <alignment horizontal="right" vertical="center"/>
    </xf>
    <xf numFmtId="165" fontId="10" fillId="2" borderId="0" xfId="0" applyNumberFormat="1" applyFont="1" applyFill="1" applyAlignment="1">
      <alignment horizontal="centerContinuous"/>
    </xf>
    <xf numFmtId="165" fontId="10" fillId="2" borderId="0" xfId="0" applyNumberFormat="1" applyFont="1" applyFill="1" applyAlignment="1">
      <alignment horizontal="center"/>
    </xf>
    <xf numFmtId="165" fontId="10" fillId="2" borderId="0" xfId="0" applyNumberFormat="1" applyFont="1" applyFill="1"/>
    <xf numFmtId="165" fontId="10" fillId="0" borderId="0" xfId="0" applyNumberFormat="1" applyFont="1"/>
    <xf numFmtId="165" fontId="42" fillId="2" borderId="0" xfId="0" applyNumberFormat="1" applyFont="1" applyFill="1" applyAlignment="1">
      <alignment horizontal="centerContinuous"/>
    </xf>
    <xf numFmtId="168" fontId="6" fillId="4" borderId="0" xfId="2" applyNumberFormat="1" applyFont="1" applyFill="1" applyBorder="1"/>
    <xf numFmtId="165" fontId="15" fillId="0" borderId="0" xfId="0" applyNumberFormat="1" applyFont="1" applyAlignment="1">
      <alignment vertical="center"/>
    </xf>
    <xf numFmtId="165" fontId="6" fillId="0" borderId="0" xfId="0" applyNumberFormat="1" applyFont="1" applyAlignment="1">
      <alignment vertical="center"/>
    </xf>
    <xf numFmtId="165" fontId="7" fillId="3" borderId="5" xfId="0" applyNumberFormat="1" applyFont="1" applyFill="1" applyBorder="1"/>
    <xf numFmtId="165" fontId="6" fillId="3" borderId="4" xfId="0" applyNumberFormat="1" applyFont="1" applyFill="1" applyBorder="1"/>
    <xf numFmtId="165" fontId="6" fillId="3" borderId="7" xfId="0" applyNumberFormat="1" applyFont="1" applyFill="1" applyBorder="1"/>
    <xf numFmtId="165" fontId="6" fillId="3" borderId="2" xfId="0" applyNumberFormat="1" applyFont="1" applyFill="1" applyBorder="1"/>
    <xf numFmtId="165" fontId="6" fillId="3" borderId="0" xfId="0" applyNumberFormat="1" applyFont="1" applyFill="1"/>
    <xf numFmtId="165" fontId="6" fillId="3" borderId="8" xfId="0" applyNumberFormat="1" applyFont="1" applyFill="1" applyBorder="1"/>
    <xf numFmtId="165" fontId="7" fillId="3" borderId="0" xfId="0" applyNumberFormat="1" applyFont="1" applyFill="1"/>
    <xf numFmtId="165" fontId="6" fillId="3" borderId="6" xfId="0" applyNumberFormat="1" applyFont="1" applyFill="1" applyBorder="1"/>
    <xf numFmtId="165" fontId="7" fillId="3" borderId="1" xfId="0" applyNumberFormat="1" applyFont="1" applyFill="1" applyBorder="1"/>
    <xf numFmtId="165" fontId="6" fillId="3" borderId="1" xfId="0" applyNumberFormat="1" applyFont="1" applyFill="1" applyBorder="1"/>
    <xf numFmtId="165" fontId="6" fillId="3" borderId="9" xfId="0" applyNumberFormat="1" applyFont="1" applyFill="1" applyBorder="1"/>
    <xf numFmtId="0" fontId="10" fillId="2" borderId="0" xfId="0" applyFont="1" applyFill="1" applyAlignment="1">
      <alignment horizontal="right" vertical="center"/>
    </xf>
    <xf numFmtId="0" fontId="10" fillId="0" borderId="0" xfId="0" applyFont="1" applyAlignment="1">
      <alignment horizontal="right"/>
    </xf>
    <xf numFmtId="165" fontId="43" fillId="0" borderId="0" xfId="0" applyNumberFormat="1" applyFont="1"/>
    <xf numFmtId="9" fontId="6" fillId="0" borderId="4" xfId="2" applyFont="1" applyBorder="1"/>
    <xf numFmtId="9" fontId="6" fillId="0" borderId="7" xfId="2" applyFont="1" applyBorder="1"/>
    <xf numFmtId="9" fontId="6" fillId="0" borderId="1" xfId="2" applyFont="1" applyBorder="1"/>
    <xf numFmtId="9" fontId="6" fillId="0" borderId="9" xfId="2" applyFont="1" applyBorder="1"/>
    <xf numFmtId="165" fontId="44" fillId="0" borderId="0" xfId="0" applyNumberFormat="1" applyFont="1"/>
    <xf numFmtId="0" fontId="6" fillId="0" borderId="0" xfId="0" applyFont="1" applyAlignment="1">
      <alignment horizontal="left" indent="2"/>
    </xf>
    <xf numFmtId="0" fontId="7" fillId="0" borderId="0" xfId="0" applyFont="1" applyAlignment="1">
      <alignment horizontal="left" indent="1"/>
    </xf>
    <xf numFmtId="165" fontId="44" fillId="3" borderId="0" xfId="0" applyNumberFormat="1" applyFont="1" applyFill="1"/>
    <xf numFmtId="165" fontId="36" fillId="3" borderId="0" xfId="0" applyNumberFormat="1" applyFont="1" applyFill="1"/>
    <xf numFmtId="165" fontId="6" fillId="0" borderId="14" xfId="0" applyNumberFormat="1" applyFont="1" applyBorder="1"/>
    <xf numFmtId="165" fontId="6" fillId="0" borderId="15" xfId="0" applyNumberFormat="1" applyFont="1" applyBorder="1"/>
    <xf numFmtId="165" fontId="44" fillId="0" borderId="25" xfId="0" applyNumberFormat="1" applyFont="1" applyBorder="1"/>
    <xf numFmtId="165" fontId="7" fillId="0" borderId="26" xfId="0" applyNumberFormat="1" applyFont="1" applyBorder="1"/>
    <xf numFmtId="165" fontId="36" fillId="0" borderId="13" xfId="0" applyNumberFormat="1" applyFont="1" applyBorder="1"/>
    <xf numFmtId="165" fontId="6" fillId="0" borderId="13" xfId="0" applyNumberFormat="1" applyFont="1" applyBorder="1"/>
    <xf numFmtId="165" fontId="6" fillId="3" borderId="28" xfId="0" applyNumberFormat="1" applyFont="1" applyFill="1" applyBorder="1"/>
    <xf numFmtId="165" fontId="6" fillId="3" borderId="29" xfId="0" applyNumberFormat="1" applyFont="1" applyFill="1" applyBorder="1"/>
    <xf numFmtId="165" fontId="6" fillId="3" borderId="27" xfId="0" applyNumberFormat="1" applyFont="1" applyFill="1" applyBorder="1"/>
    <xf numFmtId="165" fontId="38" fillId="0" borderId="13" xfId="0" applyNumberFormat="1" applyFont="1" applyBorder="1"/>
    <xf numFmtId="165" fontId="7" fillId="3" borderId="27" xfId="0" applyNumberFormat="1" applyFont="1" applyFill="1" applyBorder="1"/>
    <xf numFmtId="170" fontId="39" fillId="0" borderId="11" xfId="0" quotePrefix="1" applyNumberFormat="1" applyFont="1" applyBorder="1" applyAlignment="1">
      <alignment horizontal="right" vertical="center"/>
    </xf>
    <xf numFmtId="9" fontId="39" fillId="0" borderId="11" xfId="2" quotePrefix="1" applyFont="1" applyBorder="1" applyAlignment="1">
      <alignment horizontal="right" vertical="center"/>
    </xf>
    <xf numFmtId="9" fontId="39" fillId="0" borderId="12" xfId="2" quotePrefix="1" applyFont="1" applyBorder="1" applyAlignment="1">
      <alignment horizontal="right" vertical="center"/>
    </xf>
    <xf numFmtId="9" fontId="9" fillId="0" borderId="4" xfId="2" applyFont="1" applyFill="1" applyBorder="1"/>
    <xf numFmtId="9" fontId="9" fillId="0" borderId="7" xfId="2" applyFont="1" applyFill="1" applyBorder="1"/>
    <xf numFmtId="165" fontId="9" fillId="3" borderId="6" xfId="0" applyNumberFormat="1" applyFont="1" applyFill="1" applyBorder="1"/>
    <xf numFmtId="165" fontId="9" fillId="3" borderId="1" xfId="0" applyNumberFormat="1" applyFont="1" applyFill="1" applyBorder="1"/>
    <xf numFmtId="165" fontId="9" fillId="3" borderId="1" xfId="1" applyNumberFormat="1" applyFont="1" applyFill="1" applyBorder="1"/>
    <xf numFmtId="165" fontId="9" fillId="3" borderId="9" xfId="1" applyNumberFormat="1" applyFont="1" applyFill="1" applyBorder="1"/>
    <xf numFmtId="0" fontId="46" fillId="0" borderId="0" xfId="0" applyFont="1"/>
    <xf numFmtId="0" fontId="47" fillId="0" borderId="0" xfId="44" applyFont="1"/>
    <xf numFmtId="165" fontId="12" fillId="0" borderId="0" xfId="0" applyNumberFormat="1" applyFont="1"/>
    <xf numFmtId="165" fontId="10" fillId="0" borderId="0" xfId="0" applyNumberFormat="1" applyFont="1" applyAlignment="1">
      <alignment horizontal="right"/>
    </xf>
    <xf numFmtId="0" fontId="3" fillId="0" borderId="0" xfId="0" applyFont="1" applyAlignment="1">
      <alignment horizontal="left" indent="1"/>
    </xf>
    <xf numFmtId="165" fontId="2" fillId="0" borderId="0" xfId="0" applyNumberFormat="1" applyFont="1"/>
    <xf numFmtId="0" fontId="2" fillId="0" borderId="0" xfId="0" applyFont="1" applyAlignment="1">
      <alignment horizontal="left" indent="1"/>
    </xf>
    <xf numFmtId="0" fontId="2" fillId="0" borderId="0" xfId="0" applyFont="1" applyAlignment="1">
      <alignment horizontal="left" indent="2"/>
    </xf>
    <xf numFmtId="165" fontId="11" fillId="0" borderId="0" xfId="1" applyNumberFormat="1" applyFont="1" applyBorder="1" applyAlignment="1">
      <alignment horizontal="center" vertical="distributed"/>
    </xf>
    <xf numFmtId="165" fontId="0" fillId="0" borderId="0" xfId="0" applyNumberFormat="1" applyAlignment="1">
      <alignment horizontal="center" vertical="distributed"/>
    </xf>
    <xf numFmtId="14" fontId="1" fillId="0" borderId="0" xfId="0" applyNumberFormat="1" applyFont="1"/>
    <xf numFmtId="0" fontId="48" fillId="0" borderId="0" xfId="0" applyFont="1"/>
  </cellXfs>
  <cellStyles count="45">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erekening" xfId="13" builtinId="22" customBuiltin="1"/>
    <cellStyle name="Controlecel" xfId="15" builtinId="23" customBuiltin="1"/>
    <cellStyle name="Gekoppelde cel" xfId="14" builtinId="24" customBuiltin="1"/>
    <cellStyle name="Goed" xfId="8" builtinId="26" customBuiltin="1"/>
    <cellStyle name="Hyperlink" xfId="44" builtinId="8"/>
    <cellStyle name="Invoer" xfId="11" builtinId="20" customBuiltin="1"/>
    <cellStyle name="Komma" xfId="1" builtinId="3"/>
    <cellStyle name="Kop 1" xfId="4" builtinId="16" customBuiltin="1"/>
    <cellStyle name="Kop 2" xfId="5" builtinId="17" customBuiltin="1"/>
    <cellStyle name="Kop 3" xfId="6" builtinId="18" customBuiltin="1"/>
    <cellStyle name="Kop 4" xfId="7" builtinId="19" customBuiltin="1"/>
    <cellStyle name="Neutraal" xfId="10" builtinId="28" customBuiltin="1"/>
    <cellStyle name="Notitie" xfId="17" builtinId="10" customBuiltin="1"/>
    <cellStyle name="Ongeldig" xfId="9" builtinId="27" customBuiltin="1"/>
    <cellStyle name="Procent" xfId="2" builtinId="5"/>
    <cellStyle name="Standaard" xfId="0" builtinId="0"/>
    <cellStyle name="Titel" xfId="3" builtinId="15" customBuiltin="1"/>
    <cellStyle name="Totaal" xfId="19" builtinId="25" customBuiltin="1"/>
    <cellStyle name="Uitvoer" xfId="12" builtinId="21" customBuiltin="1"/>
    <cellStyle name="Verklarende tekst" xfId="18" builtinId="53" customBuiltin="1"/>
    <cellStyle name="Waarschuwingstekst" xfId="16"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9525</xdr:colOff>
      <xdr:row>23</xdr:row>
      <xdr:rowOff>114300</xdr:rowOff>
    </xdr:from>
    <xdr:to>
      <xdr:col>11</xdr:col>
      <xdr:colOff>19050</xdr:colOff>
      <xdr:row>33</xdr:row>
      <xdr:rowOff>19050</xdr:rowOff>
    </xdr:to>
    <xdr:sp macro="" textlink="">
      <xdr:nvSpPr>
        <xdr:cNvPr id="2" name="Tekstvak 1">
          <a:extLst>
            <a:ext uri="{FF2B5EF4-FFF2-40B4-BE49-F238E27FC236}">
              <a16:creationId xmlns:a16="http://schemas.microsoft.com/office/drawing/2014/main" id="{03E99284-71DB-4FA1-A51C-76F03146A155}"/>
            </a:ext>
          </a:extLst>
        </xdr:cNvPr>
        <xdr:cNvSpPr txBox="1"/>
      </xdr:nvSpPr>
      <xdr:spPr>
        <a:xfrm>
          <a:off x="190500" y="3419475"/>
          <a:ext cx="8486775" cy="133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Arial" panose="020B0604020202020204" pitchFamily="34" charset="0"/>
              <a:cs typeface="Arial" panose="020B0604020202020204" pitchFamily="34" charset="0"/>
            </a:rPr>
            <a:t>This financial Excel template provided is intended for informational and educational purposes only and should not be considered as financial, investment, or legal advice. While every effort has been made to ensure the accuracy and reliability of the template, it is provided "as is" without warranty of any kind, either expressed or implied. The creators and distributors of this template are not liable for any losses, damages, or other consequences arising from its use.</a:t>
          </a:r>
        </a:p>
        <a:p>
          <a:endParaRPr lang="en-US" sz="1000">
            <a:latin typeface="Arial" panose="020B0604020202020204" pitchFamily="34" charset="0"/>
            <a:cs typeface="Arial" panose="020B0604020202020204" pitchFamily="34" charset="0"/>
          </a:endParaRPr>
        </a:p>
        <a:p>
          <a:r>
            <a:rPr lang="en-US" sz="1000">
              <a:latin typeface="Arial" panose="020B0604020202020204" pitchFamily="34" charset="0"/>
              <a:cs typeface="Arial" panose="020B0604020202020204" pitchFamily="34" charset="0"/>
            </a:rPr>
            <a:t>Users are encouraged to consult with qualified financial professionals to tailor the template to their specific needs and to verify the accuracy and applicability of the outputs for their unique circumstances. This template is not a substitute for professional advice or judgment. Use of this template is at your own risk.</a:t>
          </a:r>
        </a:p>
        <a:p>
          <a:endParaRPr lang="en-US" sz="1000">
            <a:latin typeface="Arial" panose="020B0604020202020204" pitchFamily="34" charset="0"/>
            <a:cs typeface="Arial" panose="020B0604020202020204" pitchFamily="34" charset="0"/>
          </a:endParaRPr>
        </a:p>
        <a:p>
          <a:endParaRPr lang="en-US" sz="10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51727</xdr:colOff>
      <xdr:row>54</xdr:row>
      <xdr:rowOff>57150</xdr:rowOff>
    </xdr:from>
    <xdr:to>
      <xdr:col>13</xdr:col>
      <xdr:colOff>242227</xdr:colOff>
      <xdr:row>55</xdr:row>
      <xdr:rowOff>95250</xdr:rowOff>
    </xdr:to>
    <xdr:sp macro="" textlink="">
      <xdr:nvSpPr>
        <xdr:cNvPr id="10" name="Oval 9">
          <a:extLst>
            <a:ext uri="{FF2B5EF4-FFF2-40B4-BE49-F238E27FC236}">
              <a16:creationId xmlns:a16="http://schemas.microsoft.com/office/drawing/2014/main" id="{22DBFB97-F159-4483-BCA9-F941343BDAFE}"/>
            </a:ext>
          </a:extLst>
        </xdr:cNvPr>
        <xdr:cNvSpPr/>
      </xdr:nvSpPr>
      <xdr:spPr>
        <a:xfrm>
          <a:off x="11181323" y="6761285"/>
          <a:ext cx="190500" cy="169984"/>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1</a:t>
          </a:r>
        </a:p>
      </xdr:txBody>
    </xdr:sp>
    <xdr:clientData/>
  </xdr:twoCellAnchor>
  <xdr:twoCellAnchor>
    <xdr:from>
      <xdr:col>13</xdr:col>
      <xdr:colOff>9525</xdr:colOff>
      <xdr:row>44</xdr:row>
      <xdr:rowOff>28575</xdr:rowOff>
    </xdr:from>
    <xdr:to>
      <xdr:col>13</xdr:col>
      <xdr:colOff>200025</xdr:colOff>
      <xdr:row>45</xdr:row>
      <xdr:rowOff>66675</xdr:rowOff>
    </xdr:to>
    <xdr:sp macro="" textlink="">
      <xdr:nvSpPr>
        <xdr:cNvPr id="11" name="Oval 9">
          <a:extLst>
            <a:ext uri="{FF2B5EF4-FFF2-40B4-BE49-F238E27FC236}">
              <a16:creationId xmlns:a16="http://schemas.microsoft.com/office/drawing/2014/main" id="{01B308C9-4CF1-4BDC-8746-232310B55B0F}"/>
            </a:ext>
          </a:extLst>
        </xdr:cNvPr>
        <xdr:cNvSpPr/>
      </xdr:nvSpPr>
      <xdr:spPr>
        <a:xfrm>
          <a:off x="11363325" y="5867400"/>
          <a:ext cx="190500" cy="180975"/>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1</a:t>
          </a:r>
        </a:p>
      </xdr:txBody>
    </xdr:sp>
    <xdr:clientData/>
  </xdr:twoCellAnchor>
  <xdr:twoCellAnchor>
    <xdr:from>
      <xdr:col>13</xdr:col>
      <xdr:colOff>19050</xdr:colOff>
      <xdr:row>37</xdr:row>
      <xdr:rowOff>38100</xdr:rowOff>
    </xdr:from>
    <xdr:to>
      <xdr:col>13</xdr:col>
      <xdr:colOff>209550</xdr:colOff>
      <xdr:row>38</xdr:row>
      <xdr:rowOff>76200</xdr:rowOff>
    </xdr:to>
    <xdr:sp macro="" textlink="">
      <xdr:nvSpPr>
        <xdr:cNvPr id="12" name="Oval 9">
          <a:extLst>
            <a:ext uri="{FF2B5EF4-FFF2-40B4-BE49-F238E27FC236}">
              <a16:creationId xmlns:a16="http://schemas.microsoft.com/office/drawing/2014/main" id="{F33E9D75-6DCB-4B88-BA79-7BDE69EC7E00}"/>
            </a:ext>
          </a:extLst>
        </xdr:cNvPr>
        <xdr:cNvSpPr/>
      </xdr:nvSpPr>
      <xdr:spPr>
        <a:xfrm>
          <a:off x="11372850" y="4848225"/>
          <a:ext cx="190500" cy="180975"/>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1</a:t>
          </a:r>
        </a:p>
      </xdr:txBody>
    </xdr:sp>
    <xdr:clientData/>
  </xdr:twoCellAnchor>
  <xdr:twoCellAnchor>
    <xdr:from>
      <xdr:col>14</xdr:col>
      <xdr:colOff>109464</xdr:colOff>
      <xdr:row>62</xdr:row>
      <xdr:rowOff>38100</xdr:rowOff>
    </xdr:from>
    <xdr:to>
      <xdr:col>14</xdr:col>
      <xdr:colOff>299964</xdr:colOff>
      <xdr:row>63</xdr:row>
      <xdr:rowOff>76200</xdr:rowOff>
    </xdr:to>
    <xdr:sp macro="" textlink="">
      <xdr:nvSpPr>
        <xdr:cNvPr id="13" name="Oval 9">
          <a:extLst>
            <a:ext uri="{FF2B5EF4-FFF2-40B4-BE49-F238E27FC236}">
              <a16:creationId xmlns:a16="http://schemas.microsoft.com/office/drawing/2014/main" id="{0F5DB83E-1138-4769-90E3-69F7685920C3}"/>
            </a:ext>
          </a:extLst>
        </xdr:cNvPr>
        <xdr:cNvSpPr/>
      </xdr:nvSpPr>
      <xdr:spPr>
        <a:xfrm>
          <a:off x="12103637" y="7797312"/>
          <a:ext cx="190500" cy="169984"/>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2</a:t>
          </a:r>
        </a:p>
      </xdr:txBody>
    </xdr:sp>
    <xdr:clientData/>
  </xdr:twoCellAnchor>
  <xdr:twoCellAnchor>
    <xdr:from>
      <xdr:col>14</xdr:col>
      <xdr:colOff>66675</xdr:colOff>
      <xdr:row>35</xdr:row>
      <xdr:rowOff>66675</xdr:rowOff>
    </xdr:from>
    <xdr:to>
      <xdr:col>14</xdr:col>
      <xdr:colOff>257175</xdr:colOff>
      <xdr:row>36</xdr:row>
      <xdr:rowOff>104775</xdr:rowOff>
    </xdr:to>
    <xdr:sp macro="" textlink="">
      <xdr:nvSpPr>
        <xdr:cNvPr id="14" name="Oval 9">
          <a:extLst>
            <a:ext uri="{FF2B5EF4-FFF2-40B4-BE49-F238E27FC236}">
              <a16:creationId xmlns:a16="http://schemas.microsoft.com/office/drawing/2014/main" id="{2876CE63-1511-41FA-869B-998C86D0E025}"/>
            </a:ext>
          </a:extLst>
        </xdr:cNvPr>
        <xdr:cNvSpPr/>
      </xdr:nvSpPr>
      <xdr:spPr>
        <a:xfrm>
          <a:off x="12268200" y="4591050"/>
          <a:ext cx="190500" cy="1905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2</a:t>
          </a:r>
        </a:p>
      </xdr:txBody>
    </xdr:sp>
    <xdr:clientData/>
  </xdr:twoCellAnchor>
  <xdr:twoCellAnchor>
    <xdr:from>
      <xdr:col>14</xdr:col>
      <xdr:colOff>95250</xdr:colOff>
      <xdr:row>20</xdr:row>
      <xdr:rowOff>95250</xdr:rowOff>
    </xdr:from>
    <xdr:to>
      <xdr:col>14</xdr:col>
      <xdr:colOff>285750</xdr:colOff>
      <xdr:row>21</xdr:row>
      <xdr:rowOff>133350</xdr:rowOff>
    </xdr:to>
    <xdr:sp macro="" textlink="">
      <xdr:nvSpPr>
        <xdr:cNvPr id="15" name="Oval 9">
          <a:extLst>
            <a:ext uri="{FF2B5EF4-FFF2-40B4-BE49-F238E27FC236}">
              <a16:creationId xmlns:a16="http://schemas.microsoft.com/office/drawing/2014/main" id="{EE65136E-909A-44F8-B96D-1AE44E2962A3}"/>
            </a:ext>
          </a:extLst>
        </xdr:cNvPr>
        <xdr:cNvSpPr/>
      </xdr:nvSpPr>
      <xdr:spPr>
        <a:xfrm>
          <a:off x="12296775" y="3000375"/>
          <a:ext cx="190500" cy="1905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2</a:t>
          </a:r>
        </a:p>
      </xdr:txBody>
    </xdr:sp>
    <xdr:clientData/>
  </xdr:twoCellAnchor>
  <xdr:twoCellAnchor>
    <xdr:from>
      <xdr:col>15</xdr:col>
      <xdr:colOff>57150</xdr:colOff>
      <xdr:row>42</xdr:row>
      <xdr:rowOff>38100</xdr:rowOff>
    </xdr:from>
    <xdr:to>
      <xdr:col>15</xdr:col>
      <xdr:colOff>247650</xdr:colOff>
      <xdr:row>43</xdr:row>
      <xdr:rowOff>76200</xdr:rowOff>
    </xdr:to>
    <xdr:sp macro="" textlink="">
      <xdr:nvSpPr>
        <xdr:cNvPr id="16" name="Oval 9">
          <a:extLst>
            <a:ext uri="{FF2B5EF4-FFF2-40B4-BE49-F238E27FC236}">
              <a16:creationId xmlns:a16="http://schemas.microsoft.com/office/drawing/2014/main" id="{BAAB8500-6EFC-4FB6-8F6D-4256B70C5DE5}"/>
            </a:ext>
          </a:extLst>
        </xdr:cNvPr>
        <xdr:cNvSpPr/>
      </xdr:nvSpPr>
      <xdr:spPr>
        <a:xfrm>
          <a:off x="13106400" y="5619750"/>
          <a:ext cx="190500" cy="1905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3</a:t>
          </a:r>
        </a:p>
      </xdr:txBody>
    </xdr:sp>
    <xdr:clientData/>
  </xdr:twoCellAnchor>
  <xdr:twoCellAnchor>
    <xdr:from>
      <xdr:col>15</xdr:col>
      <xdr:colOff>80303</xdr:colOff>
      <xdr:row>66</xdr:row>
      <xdr:rowOff>26670</xdr:rowOff>
    </xdr:from>
    <xdr:to>
      <xdr:col>15</xdr:col>
      <xdr:colOff>270803</xdr:colOff>
      <xdr:row>67</xdr:row>
      <xdr:rowOff>64770</xdr:rowOff>
    </xdr:to>
    <xdr:sp macro="" textlink="">
      <xdr:nvSpPr>
        <xdr:cNvPr id="17" name="Oval 9">
          <a:extLst>
            <a:ext uri="{FF2B5EF4-FFF2-40B4-BE49-F238E27FC236}">
              <a16:creationId xmlns:a16="http://schemas.microsoft.com/office/drawing/2014/main" id="{7559B559-8E86-4216-A3C7-EF1ADFC4F90B}"/>
            </a:ext>
          </a:extLst>
        </xdr:cNvPr>
        <xdr:cNvSpPr/>
      </xdr:nvSpPr>
      <xdr:spPr>
        <a:xfrm>
          <a:off x="12939053" y="8313420"/>
          <a:ext cx="190500" cy="169985"/>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3</a:t>
          </a:r>
        </a:p>
      </xdr:txBody>
    </xdr:sp>
    <xdr:clientData/>
  </xdr:twoCellAnchor>
  <xdr:twoCellAnchor>
    <xdr:from>
      <xdr:col>19</xdr:col>
      <xdr:colOff>190500</xdr:colOff>
      <xdr:row>24</xdr:row>
      <xdr:rowOff>133350</xdr:rowOff>
    </xdr:from>
    <xdr:to>
      <xdr:col>19</xdr:col>
      <xdr:colOff>381000</xdr:colOff>
      <xdr:row>26</xdr:row>
      <xdr:rowOff>9525</xdr:rowOff>
    </xdr:to>
    <xdr:sp macro="" textlink="">
      <xdr:nvSpPr>
        <xdr:cNvPr id="18" name="Oval 9">
          <a:extLst>
            <a:ext uri="{FF2B5EF4-FFF2-40B4-BE49-F238E27FC236}">
              <a16:creationId xmlns:a16="http://schemas.microsoft.com/office/drawing/2014/main" id="{B557CE05-F542-4626-87DF-8E266170F837}"/>
            </a:ext>
          </a:extLst>
        </xdr:cNvPr>
        <xdr:cNvSpPr/>
      </xdr:nvSpPr>
      <xdr:spPr>
        <a:xfrm>
          <a:off x="17630775" y="3686175"/>
          <a:ext cx="190500" cy="1905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4</a:t>
          </a:r>
        </a:p>
      </xdr:txBody>
    </xdr:sp>
    <xdr:clientData/>
  </xdr:twoCellAnchor>
  <xdr:twoCellAnchor>
    <xdr:from>
      <xdr:col>19</xdr:col>
      <xdr:colOff>171450</xdr:colOff>
      <xdr:row>51</xdr:row>
      <xdr:rowOff>104775</xdr:rowOff>
    </xdr:from>
    <xdr:to>
      <xdr:col>19</xdr:col>
      <xdr:colOff>361950</xdr:colOff>
      <xdr:row>53</xdr:row>
      <xdr:rowOff>9525</xdr:rowOff>
    </xdr:to>
    <xdr:sp macro="" textlink="">
      <xdr:nvSpPr>
        <xdr:cNvPr id="20" name="Oval 9">
          <a:extLst>
            <a:ext uri="{FF2B5EF4-FFF2-40B4-BE49-F238E27FC236}">
              <a16:creationId xmlns:a16="http://schemas.microsoft.com/office/drawing/2014/main" id="{B58BBA47-1BA9-4AED-ACE7-95CFE5E2C89E}"/>
            </a:ext>
          </a:extLst>
        </xdr:cNvPr>
        <xdr:cNvSpPr/>
      </xdr:nvSpPr>
      <xdr:spPr>
        <a:xfrm>
          <a:off x="17611725" y="6953250"/>
          <a:ext cx="190500" cy="1905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4</a:t>
          </a:r>
        </a:p>
      </xdr:txBody>
    </xdr:sp>
    <xdr:clientData/>
  </xdr:twoCellAnchor>
  <xdr:twoCellAnchor>
    <xdr:from>
      <xdr:col>19</xdr:col>
      <xdr:colOff>161925</xdr:colOff>
      <xdr:row>68</xdr:row>
      <xdr:rowOff>123825</xdr:rowOff>
    </xdr:from>
    <xdr:to>
      <xdr:col>19</xdr:col>
      <xdr:colOff>352425</xdr:colOff>
      <xdr:row>70</xdr:row>
      <xdr:rowOff>28575</xdr:rowOff>
    </xdr:to>
    <xdr:sp macro="" textlink="">
      <xdr:nvSpPr>
        <xdr:cNvPr id="21" name="Oval 9">
          <a:extLst>
            <a:ext uri="{FF2B5EF4-FFF2-40B4-BE49-F238E27FC236}">
              <a16:creationId xmlns:a16="http://schemas.microsoft.com/office/drawing/2014/main" id="{44A6A7A6-FA35-4189-B016-DA491421FFF2}"/>
            </a:ext>
          </a:extLst>
        </xdr:cNvPr>
        <xdr:cNvSpPr/>
      </xdr:nvSpPr>
      <xdr:spPr>
        <a:xfrm>
          <a:off x="17602200" y="9439275"/>
          <a:ext cx="190500" cy="1905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4</a:t>
          </a:r>
        </a:p>
      </xdr:txBody>
    </xdr:sp>
    <xdr:clientData/>
  </xdr:twoCellAnchor>
  <xdr:twoCellAnchor>
    <xdr:from>
      <xdr:col>21</xdr:col>
      <xdr:colOff>133350</xdr:colOff>
      <xdr:row>25</xdr:row>
      <xdr:rowOff>171450</xdr:rowOff>
    </xdr:from>
    <xdr:to>
      <xdr:col>21</xdr:col>
      <xdr:colOff>323850</xdr:colOff>
      <xdr:row>27</xdr:row>
      <xdr:rowOff>9525</xdr:rowOff>
    </xdr:to>
    <xdr:sp macro="" textlink="">
      <xdr:nvSpPr>
        <xdr:cNvPr id="23" name="Oval 9">
          <a:extLst>
            <a:ext uri="{FF2B5EF4-FFF2-40B4-BE49-F238E27FC236}">
              <a16:creationId xmlns:a16="http://schemas.microsoft.com/office/drawing/2014/main" id="{521840CD-70E7-477C-98ED-8368B0AD759F}"/>
            </a:ext>
          </a:extLst>
        </xdr:cNvPr>
        <xdr:cNvSpPr/>
      </xdr:nvSpPr>
      <xdr:spPr>
        <a:xfrm>
          <a:off x="19269075" y="3867150"/>
          <a:ext cx="190500" cy="200025"/>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5</a:t>
          </a:r>
        </a:p>
      </xdr:txBody>
    </xdr:sp>
    <xdr:clientData/>
  </xdr:twoCellAnchor>
  <xdr:twoCellAnchor>
    <xdr:from>
      <xdr:col>21</xdr:col>
      <xdr:colOff>114300</xdr:colOff>
      <xdr:row>41</xdr:row>
      <xdr:rowOff>66675</xdr:rowOff>
    </xdr:from>
    <xdr:to>
      <xdr:col>21</xdr:col>
      <xdr:colOff>304800</xdr:colOff>
      <xdr:row>42</xdr:row>
      <xdr:rowOff>114300</xdr:rowOff>
    </xdr:to>
    <xdr:sp macro="" textlink="">
      <xdr:nvSpPr>
        <xdr:cNvPr id="24" name="Oval 9">
          <a:extLst>
            <a:ext uri="{FF2B5EF4-FFF2-40B4-BE49-F238E27FC236}">
              <a16:creationId xmlns:a16="http://schemas.microsoft.com/office/drawing/2014/main" id="{10998AA5-EA3E-4E16-BD03-6556C0670D0D}"/>
            </a:ext>
          </a:extLst>
        </xdr:cNvPr>
        <xdr:cNvSpPr/>
      </xdr:nvSpPr>
      <xdr:spPr>
        <a:xfrm>
          <a:off x="19250025" y="5524500"/>
          <a:ext cx="190500" cy="200025"/>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5</a:t>
          </a:r>
        </a:p>
      </xdr:txBody>
    </xdr:sp>
    <xdr:clientData/>
  </xdr:twoCellAnchor>
  <xdr:twoCellAnchor>
    <xdr:from>
      <xdr:col>21</xdr:col>
      <xdr:colOff>104775</xdr:colOff>
      <xdr:row>65</xdr:row>
      <xdr:rowOff>57150</xdr:rowOff>
    </xdr:from>
    <xdr:to>
      <xdr:col>21</xdr:col>
      <xdr:colOff>295275</xdr:colOff>
      <xdr:row>66</xdr:row>
      <xdr:rowOff>104775</xdr:rowOff>
    </xdr:to>
    <xdr:sp macro="" textlink="">
      <xdr:nvSpPr>
        <xdr:cNvPr id="25" name="Oval 9">
          <a:extLst>
            <a:ext uri="{FF2B5EF4-FFF2-40B4-BE49-F238E27FC236}">
              <a16:creationId xmlns:a16="http://schemas.microsoft.com/office/drawing/2014/main" id="{B60CB906-1CE7-4832-AB82-3BD682385D0C}"/>
            </a:ext>
          </a:extLst>
        </xdr:cNvPr>
        <xdr:cNvSpPr/>
      </xdr:nvSpPr>
      <xdr:spPr>
        <a:xfrm>
          <a:off x="19240500" y="8953500"/>
          <a:ext cx="190500" cy="200025"/>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5</a:t>
          </a:r>
        </a:p>
      </xdr:txBody>
    </xdr:sp>
    <xdr:clientData/>
  </xdr:twoCellAnchor>
  <xdr:twoCellAnchor>
    <xdr:from>
      <xdr:col>22</xdr:col>
      <xdr:colOff>200025</xdr:colOff>
      <xdr:row>38</xdr:row>
      <xdr:rowOff>47625</xdr:rowOff>
    </xdr:from>
    <xdr:to>
      <xdr:col>22</xdr:col>
      <xdr:colOff>390525</xdr:colOff>
      <xdr:row>39</xdr:row>
      <xdr:rowOff>95250</xdr:rowOff>
    </xdr:to>
    <xdr:sp macro="" textlink="">
      <xdr:nvSpPr>
        <xdr:cNvPr id="26" name="Oval 9">
          <a:extLst>
            <a:ext uri="{FF2B5EF4-FFF2-40B4-BE49-F238E27FC236}">
              <a16:creationId xmlns:a16="http://schemas.microsoft.com/office/drawing/2014/main" id="{D86080D8-18CD-456D-B4F7-AB4AB411815D}"/>
            </a:ext>
          </a:extLst>
        </xdr:cNvPr>
        <xdr:cNvSpPr/>
      </xdr:nvSpPr>
      <xdr:spPr>
        <a:xfrm>
          <a:off x="20183475" y="5048250"/>
          <a:ext cx="190500" cy="200025"/>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6</a:t>
          </a:r>
        </a:p>
      </xdr:txBody>
    </xdr:sp>
    <xdr:clientData/>
  </xdr:twoCellAnchor>
  <xdr:twoCellAnchor>
    <xdr:from>
      <xdr:col>22</xdr:col>
      <xdr:colOff>161925</xdr:colOff>
      <xdr:row>71</xdr:row>
      <xdr:rowOff>28575</xdr:rowOff>
    </xdr:from>
    <xdr:to>
      <xdr:col>22</xdr:col>
      <xdr:colOff>352425</xdr:colOff>
      <xdr:row>72</xdr:row>
      <xdr:rowOff>76200</xdr:rowOff>
    </xdr:to>
    <xdr:sp macro="" textlink="">
      <xdr:nvSpPr>
        <xdr:cNvPr id="27" name="Oval 9">
          <a:extLst>
            <a:ext uri="{FF2B5EF4-FFF2-40B4-BE49-F238E27FC236}">
              <a16:creationId xmlns:a16="http://schemas.microsoft.com/office/drawing/2014/main" id="{93BF31DE-4254-4723-B249-311729057BB8}"/>
            </a:ext>
          </a:extLst>
        </xdr:cNvPr>
        <xdr:cNvSpPr/>
      </xdr:nvSpPr>
      <xdr:spPr>
        <a:xfrm>
          <a:off x="20145375" y="9829800"/>
          <a:ext cx="190500" cy="200025"/>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GB" sz="800">
              <a:latin typeface="Arial" panose="020B0604020202020204" pitchFamily="34" charset="0"/>
              <a:cs typeface="Arial" panose="020B0604020202020204" pitchFamily="34" charset="0"/>
            </a:rPr>
            <a:t>6</a:t>
          </a:r>
        </a:p>
      </xdr:txBody>
    </xdr:sp>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x-astris.n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9C4CD-BF06-4FCF-A6CB-B1615FF6BE7D}">
  <sheetPr>
    <tabColor theme="1"/>
  </sheetPr>
  <dimension ref="A7:W56"/>
  <sheetViews>
    <sheetView showGridLines="0" tabSelected="1" workbookViewId="0">
      <selection activeCell="B18" sqref="B18"/>
    </sheetView>
  </sheetViews>
  <sheetFormatPr defaultColWidth="0" defaultRowHeight="10.199999999999999" x14ac:dyDescent="0.2"/>
  <cols>
    <col min="1" max="1" width="2.6640625" style="2" customWidth="1"/>
    <col min="2" max="2" width="8.6640625" style="2" customWidth="1"/>
    <col min="3" max="3" width="1.6640625" style="2" customWidth="1"/>
    <col min="4" max="4" width="27.6640625" style="2" customWidth="1"/>
    <col min="5" max="23" width="12.6640625" style="2" customWidth="1"/>
    <col min="24" max="16384" width="9.109375" style="2" hidden="1"/>
  </cols>
  <sheetData>
    <row r="7" spans="2:2" ht="22.8" x14ac:dyDescent="0.4">
      <c r="B7" s="168" t="s">
        <v>194</v>
      </c>
    </row>
    <row r="8" spans="2:2" x14ac:dyDescent="0.2">
      <c r="B8" s="167" t="s">
        <v>195</v>
      </c>
    </row>
    <row r="17" spans="2:11" ht="13.2" x14ac:dyDescent="0.25">
      <c r="B17" s="4" t="s">
        <v>196</v>
      </c>
      <c r="C17" s="5"/>
      <c r="D17" s="5"/>
      <c r="E17" s="5"/>
      <c r="F17" s="5"/>
      <c r="G17" s="5"/>
      <c r="H17" s="5"/>
      <c r="I17" s="5"/>
      <c r="J17" s="5"/>
      <c r="K17" s="6">
        <f ca="1">TODAY()</f>
        <v>46120</v>
      </c>
    </row>
    <row r="18" spans="2:11" x14ac:dyDescent="0.2">
      <c r="B18" s="2" t="str" cm="1">
        <f t="array" aca="1" ref="B18" ca="1">RIGHT(CELL("filename",D17),LEN(CELL("filename",D17))-FIND("]",CELL("filename",D17)))</f>
        <v>Frontpage</v>
      </c>
    </row>
    <row r="35" spans="2:2" ht="13.2" x14ac:dyDescent="0.25">
      <c r="B35" s="157" t="s">
        <v>171</v>
      </c>
    </row>
    <row r="36" spans="2:2" ht="13.8" x14ac:dyDescent="0.3">
      <c r="B36" s="158" t="s">
        <v>172</v>
      </c>
    </row>
    <row r="49" s="2" customFormat="1" x14ac:dyDescent="0.2"/>
    <row r="50" s="2" customFormat="1" x14ac:dyDescent="0.2"/>
    <row r="51" s="2" customFormat="1" x14ac:dyDescent="0.2"/>
    <row r="52" s="2" customFormat="1" x14ac:dyDescent="0.2"/>
    <row r="53" s="2" customFormat="1" x14ac:dyDescent="0.2"/>
    <row r="54" s="2" customFormat="1" x14ac:dyDescent="0.2"/>
    <row r="55" s="2" customFormat="1" x14ac:dyDescent="0.2"/>
    <row r="56" s="2" customFormat="1" x14ac:dyDescent="0.2"/>
  </sheetData>
  <hyperlinks>
    <hyperlink ref="B36" r:id="rId1" xr:uid="{2F918FBE-70D4-4186-9A27-DAF9EE8A4DBF}"/>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978F-C363-485A-B0C3-3097F246B5CE}">
  <sheetPr>
    <tabColor theme="1"/>
  </sheetPr>
  <dimension ref="A8:W18"/>
  <sheetViews>
    <sheetView showGridLines="0" workbookViewId="0"/>
  </sheetViews>
  <sheetFormatPr defaultColWidth="0" defaultRowHeight="10.199999999999999" x14ac:dyDescent="0.2"/>
  <cols>
    <col min="1" max="1" width="2.6640625" style="2" customWidth="1"/>
    <col min="2" max="2" width="8.6640625" style="2" customWidth="1"/>
    <col min="3" max="3" width="1.6640625" style="2" customWidth="1"/>
    <col min="4" max="4" width="27.6640625" style="2" customWidth="1"/>
    <col min="5" max="23" width="12.6640625" style="2" customWidth="1"/>
    <col min="24" max="16384" width="9.109375" style="2" hidden="1"/>
  </cols>
  <sheetData>
    <row r="8" spans="2:2" x14ac:dyDescent="0.2">
      <c r="B8" s="1"/>
    </row>
    <row r="17" spans="2:11" ht="13.2" x14ac:dyDescent="0.25">
      <c r="B17" s="4" t="s">
        <v>28</v>
      </c>
      <c r="C17" s="5"/>
      <c r="D17" s="5"/>
      <c r="E17" s="5"/>
      <c r="F17" s="5"/>
      <c r="G17" s="5"/>
      <c r="H17" s="5"/>
      <c r="I17" s="5"/>
      <c r="J17" s="5"/>
      <c r="K17" s="6">
        <f ca="1">TODAY()</f>
        <v>46120</v>
      </c>
    </row>
    <row r="18" spans="2:11" x14ac:dyDescent="0.2">
      <c r="B18" s="2" t="str" cm="1">
        <f t="array" aca="1" ref="B18" ca="1">RIGHT(CELL("filename",D17),LEN(CELL("filename",D17))-FIND("]",CELL("filename",D17)))</f>
        <v>Output</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9E353-33F7-47CC-853C-04781165D2FB}">
  <dimension ref="B2:AC83"/>
  <sheetViews>
    <sheetView showGridLines="0" zoomScale="130" zoomScaleNormal="130" workbookViewId="0"/>
  </sheetViews>
  <sheetFormatPr defaultColWidth="9.109375" defaultRowHeight="10.199999999999999" outlineLevelRow="1" x14ac:dyDescent="0.2"/>
  <cols>
    <col min="1" max="1" width="2.6640625" style="2" customWidth="1"/>
    <col min="2" max="2" width="8.6640625" style="2" customWidth="1"/>
    <col min="3" max="3" width="1.6640625" style="2" customWidth="1"/>
    <col min="4" max="4" width="27.6640625" style="2" customWidth="1"/>
    <col min="5" max="9" width="12.6640625" style="2" customWidth="1"/>
    <col min="10" max="10" width="5.6640625" style="2" customWidth="1"/>
    <col min="11" max="11" width="27.6640625" style="2" customWidth="1"/>
    <col min="12" max="16" width="12.6640625" style="2" customWidth="1"/>
    <col min="17" max="17" width="5.6640625" style="2" customWidth="1"/>
    <col min="18" max="18" width="27.6640625" style="2" customWidth="1"/>
    <col min="19" max="23" width="12.6640625" style="2" customWidth="1"/>
    <col min="24" max="16384" width="9.109375" style="2"/>
  </cols>
  <sheetData>
    <row r="2" spans="2:23" x14ac:dyDescent="0.2">
      <c r="B2" s="3" t="str">
        <f>Frontpage!B17</f>
        <v>Case Templates - Illustrative examples</v>
      </c>
      <c r="C2" s="3"/>
    </row>
    <row r="4" spans="2:23" x14ac:dyDescent="0.2">
      <c r="B4" s="8" t="s">
        <v>29</v>
      </c>
      <c r="C4" s="8"/>
      <c r="D4" s="7"/>
      <c r="E4" s="7"/>
      <c r="F4" s="7"/>
      <c r="G4" s="7"/>
      <c r="H4" s="7"/>
      <c r="I4" s="7"/>
      <c r="J4" s="7"/>
      <c r="K4" s="7"/>
      <c r="L4" s="7"/>
      <c r="M4" s="7"/>
      <c r="N4" s="7"/>
      <c r="O4" s="7"/>
      <c r="P4" s="7"/>
      <c r="Q4" s="7"/>
      <c r="R4" s="7"/>
      <c r="S4" s="7"/>
      <c r="T4" s="7"/>
      <c r="U4" s="7"/>
      <c r="V4" s="7"/>
      <c r="W4" s="7"/>
    </row>
    <row r="6" spans="2:23" x14ac:dyDescent="0.2">
      <c r="B6" s="11">
        <v>1</v>
      </c>
      <c r="C6" s="12" t="s">
        <v>77</v>
      </c>
      <c r="D6" s="12"/>
      <c r="E6" s="11"/>
      <c r="F6" s="10"/>
      <c r="G6" s="10"/>
      <c r="H6" s="10"/>
      <c r="I6" s="10"/>
      <c r="J6" s="10"/>
      <c r="K6" s="11" t="s">
        <v>175</v>
      </c>
      <c r="L6" s="10"/>
      <c r="M6" s="10"/>
      <c r="N6" s="10"/>
      <c r="O6" s="10"/>
      <c r="P6" s="10"/>
      <c r="Q6" s="10"/>
      <c r="R6" s="11" t="s">
        <v>176</v>
      </c>
      <c r="S6" s="10"/>
      <c r="T6" s="10"/>
      <c r="U6" s="10"/>
      <c r="V6" s="10"/>
      <c r="W6" s="10"/>
    </row>
    <row r="8" spans="2:23" s="57" customFormat="1" ht="15.75" customHeight="1" x14ac:dyDescent="0.3">
      <c r="B8" s="56">
        <v>1.1000000000000001</v>
      </c>
      <c r="C8" s="59"/>
      <c r="D8" s="59" t="s">
        <v>99</v>
      </c>
      <c r="K8" s="59" t="s">
        <v>99</v>
      </c>
      <c r="R8" s="59" t="s">
        <v>99</v>
      </c>
    </row>
    <row r="9" spans="2:23" x14ac:dyDescent="0.2">
      <c r="D9" s="20"/>
      <c r="E9" s="20"/>
      <c r="F9" s="125" t="s">
        <v>146</v>
      </c>
      <c r="G9" s="125" t="s">
        <v>147</v>
      </c>
      <c r="H9" s="125" t="s">
        <v>148</v>
      </c>
      <c r="I9" s="125" t="s">
        <v>149</v>
      </c>
      <c r="K9" s="20"/>
      <c r="L9" s="20"/>
      <c r="M9" s="125" t="s">
        <v>146</v>
      </c>
      <c r="N9" s="125" t="s">
        <v>147</v>
      </c>
      <c r="O9" s="125" t="s">
        <v>148</v>
      </c>
      <c r="P9" s="125" t="s">
        <v>149</v>
      </c>
      <c r="R9" s="20"/>
      <c r="S9" s="20"/>
      <c r="T9" s="125" t="s">
        <v>146</v>
      </c>
      <c r="U9" s="125" t="s">
        <v>147</v>
      </c>
      <c r="V9" s="125" t="s">
        <v>148</v>
      </c>
      <c r="W9" s="125" t="s">
        <v>149</v>
      </c>
    </row>
    <row r="10" spans="2:23" ht="2.1" customHeight="1" x14ac:dyDescent="0.2">
      <c r="D10" s="14"/>
      <c r="E10" s="14"/>
      <c r="F10" s="14"/>
      <c r="G10" s="14"/>
      <c r="H10" s="14"/>
      <c r="I10" s="14"/>
      <c r="K10" s="14"/>
      <c r="L10" s="14"/>
      <c r="M10" s="14"/>
      <c r="N10" s="14"/>
      <c r="O10" s="14"/>
      <c r="P10" s="14"/>
      <c r="R10" s="14"/>
      <c r="S10" s="14"/>
      <c r="T10" s="14"/>
      <c r="U10" s="14"/>
      <c r="V10" s="14"/>
      <c r="W10" s="14"/>
    </row>
    <row r="11" spans="2:23" x14ac:dyDescent="0.2">
      <c r="D11" s="163" t="s">
        <v>59</v>
      </c>
      <c r="E11" s="86"/>
      <c r="F11" s="32">
        <f>'1. Revenue'!F20</f>
        <v>153577.98165137615</v>
      </c>
      <c r="G11" s="32">
        <f>'1. Revenue'!G20</f>
        <v>163486.23853211006</v>
      </c>
      <c r="H11" s="32">
        <f>'1. Revenue'!H20</f>
        <v>173394.49541284403</v>
      </c>
      <c r="I11" s="32">
        <f>'1. Revenue'!I20</f>
        <v>183302.752293578</v>
      </c>
      <c r="J11" s="32"/>
      <c r="K11" s="87" t="s">
        <v>59</v>
      </c>
      <c r="L11" s="86"/>
      <c r="M11" s="32">
        <v>153577.98165137615</v>
      </c>
      <c r="N11" s="32">
        <v>163486.23853211006</v>
      </c>
      <c r="O11" s="32">
        <v>173394.49541284403</v>
      </c>
      <c r="P11" s="32">
        <v>183302.752293578</v>
      </c>
      <c r="Q11" s="32"/>
      <c r="R11" s="87" t="s">
        <v>59</v>
      </c>
      <c r="S11" s="86"/>
      <c r="T11" s="32">
        <v>153577.98165137615</v>
      </c>
      <c r="U11" s="32">
        <v>163486.23853211006</v>
      </c>
      <c r="V11" s="32">
        <v>173394.49541284403</v>
      </c>
      <c r="W11" s="32">
        <v>183302.752293578</v>
      </c>
    </row>
    <row r="12" spans="2:23" ht="12" x14ac:dyDescent="0.35">
      <c r="D12" s="87" t="s">
        <v>86</v>
      </c>
      <c r="E12" s="86"/>
      <c r="F12" s="63">
        <f>'1. Revenue'!F29</f>
        <v>19816.51376146789</v>
      </c>
      <c r="G12" s="63">
        <f>'1. Revenue'!G29</f>
        <v>20807.339449541283</v>
      </c>
      <c r="H12" s="63">
        <f>'1. Revenue'!H29</f>
        <v>21798.165137614676</v>
      </c>
      <c r="I12" s="63">
        <f>'1. Revenue'!I29</f>
        <v>22788.99082568807</v>
      </c>
      <c r="J12" s="32"/>
      <c r="K12" s="87" t="s">
        <v>86</v>
      </c>
      <c r="L12" s="86"/>
      <c r="M12" s="63">
        <v>19816.51376146789</v>
      </c>
      <c r="N12" s="63">
        <v>20807.339449541283</v>
      </c>
      <c r="O12" s="63">
        <v>21798.165137614676</v>
      </c>
      <c r="P12" s="63">
        <v>22788.99082568807</v>
      </c>
      <c r="Q12" s="32"/>
      <c r="R12" s="87" t="s">
        <v>86</v>
      </c>
      <c r="S12" s="86"/>
      <c r="T12" s="63">
        <v>19816.51376146789</v>
      </c>
      <c r="U12" s="63">
        <v>20807.339449541283</v>
      </c>
      <c r="V12" s="63">
        <v>21798.165137614676</v>
      </c>
      <c r="W12" s="63">
        <v>22788.99082568807</v>
      </c>
    </row>
    <row r="13" spans="2:23" x14ac:dyDescent="0.2">
      <c r="D13" s="3" t="s">
        <v>69</v>
      </c>
      <c r="E13" s="86"/>
      <c r="F13" s="28">
        <f>SUM(F11:F12)</f>
        <v>173394.49541284403</v>
      </c>
      <c r="G13" s="28">
        <f>SUM(G11:G12)</f>
        <v>184293.57798165135</v>
      </c>
      <c r="H13" s="28">
        <f>SUM(H11:H12)</f>
        <v>195192.66055045871</v>
      </c>
      <c r="I13" s="28">
        <f>SUM(I11:I12)</f>
        <v>206091.74311926606</v>
      </c>
      <c r="J13" s="32"/>
      <c r="K13" s="3" t="s">
        <v>69</v>
      </c>
      <c r="L13" s="86"/>
      <c r="M13" s="28">
        <v>173394.49541284403</v>
      </c>
      <c r="N13" s="28">
        <v>184293.57798165135</v>
      </c>
      <c r="O13" s="28">
        <v>195192.66055045871</v>
      </c>
      <c r="P13" s="28">
        <v>206091.74311926606</v>
      </c>
      <c r="Q13" s="32"/>
      <c r="R13" s="3" t="s">
        <v>69</v>
      </c>
      <c r="S13" s="86"/>
      <c r="T13" s="28">
        <v>173394.49541284403</v>
      </c>
      <c r="U13" s="28">
        <v>184293.57798165135</v>
      </c>
      <c r="V13" s="28">
        <v>195192.66055045871</v>
      </c>
      <c r="W13" s="28">
        <v>206091.74311926606</v>
      </c>
    </row>
    <row r="14" spans="2:23" x14ac:dyDescent="0.2">
      <c r="D14" s="87" t="s">
        <v>84</v>
      </c>
      <c r="E14" s="86"/>
      <c r="F14" s="32">
        <f>'2. COGS'!F13</f>
        <v>-23036.697247706423</v>
      </c>
      <c r="G14" s="32">
        <f>'2. COGS'!G13</f>
        <v>-24522.935779816507</v>
      </c>
      <c r="H14" s="32">
        <f>'2. COGS'!H13</f>
        <v>-26009.174311926603</v>
      </c>
      <c r="I14" s="32">
        <f>'2. COGS'!I13</f>
        <v>-27495.412844036699</v>
      </c>
      <c r="J14" s="32"/>
      <c r="K14" s="87" t="s">
        <v>84</v>
      </c>
      <c r="L14" s="86"/>
      <c r="M14" s="32">
        <v>-23036.697247706423</v>
      </c>
      <c r="N14" s="32">
        <v>-24522.935779816507</v>
      </c>
      <c r="O14" s="32">
        <v>-26009.174311926603</v>
      </c>
      <c r="P14" s="32">
        <v>-27495.412844036699</v>
      </c>
      <c r="Q14" s="32"/>
      <c r="R14" s="87" t="s">
        <v>84</v>
      </c>
      <c r="S14" s="86"/>
      <c r="T14" s="32">
        <v>-23036.697247706423</v>
      </c>
      <c r="U14" s="32">
        <v>-24522.935779816507</v>
      </c>
      <c r="V14" s="32">
        <v>-26009.174311926603</v>
      </c>
      <c r="W14" s="32">
        <v>-27495.412844036699</v>
      </c>
    </row>
    <row r="15" spans="2:23" ht="12" x14ac:dyDescent="0.35">
      <c r="D15" s="87" t="s">
        <v>85</v>
      </c>
      <c r="E15" s="86"/>
      <c r="F15" s="63">
        <f>'2. COGS'!F17</f>
        <v>-3963.3027522935781</v>
      </c>
      <c r="G15" s="63">
        <f>'2. COGS'!G17</f>
        <v>-4161.4678899082564</v>
      </c>
      <c r="H15" s="63">
        <f>'2. COGS'!H17</f>
        <v>-4359.6330275229357</v>
      </c>
      <c r="I15" s="63">
        <f>'2. COGS'!I17</f>
        <v>-4557.798165137614</v>
      </c>
      <c r="J15" s="32"/>
      <c r="K15" s="87" t="s">
        <v>85</v>
      </c>
      <c r="L15" s="86"/>
      <c r="M15" s="63">
        <v>-3963.3027522935781</v>
      </c>
      <c r="N15" s="63">
        <v>-4161.4678899082564</v>
      </c>
      <c r="O15" s="63">
        <v>-4359.6330275229357</v>
      </c>
      <c r="P15" s="63">
        <v>-4557.798165137614</v>
      </c>
      <c r="Q15" s="32"/>
      <c r="R15" s="87" t="s">
        <v>85</v>
      </c>
      <c r="S15" s="86"/>
      <c r="T15" s="63">
        <v>-3963.3027522935781</v>
      </c>
      <c r="U15" s="63">
        <v>-4161.4678899082564</v>
      </c>
      <c r="V15" s="63">
        <v>-4359.6330275229357</v>
      </c>
      <c r="W15" s="63">
        <v>-4557.798165137614</v>
      </c>
    </row>
    <row r="16" spans="2:23" x14ac:dyDescent="0.2">
      <c r="D16" s="3" t="s">
        <v>58</v>
      </c>
      <c r="E16" s="86"/>
      <c r="F16" s="28">
        <f>SUM(F14:F15)</f>
        <v>-27000</v>
      </c>
      <c r="G16" s="28">
        <f>SUM(G14:G15)</f>
        <v>-28684.403669724765</v>
      </c>
      <c r="H16" s="28">
        <f>SUM(H14:H15)</f>
        <v>-30368.807339449537</v>
      </c>
      <c r="I16" s="28">
        <f>SUM(I14:I15)</f>
        <v>-32053.211009174312</v>
      </c>
      <c r="J16" s="32"/>
      <c r="K16" s="3" t="s">
        <v>58</v>
      </c>
      <c r="L16" s="86"/>
      <c r="M16" s="28">
        <v>-27000</v>
      </c>
      <c r="N16" s="28">
        <v>-28684.403669724765</v>
      </c>
      <c r="O16" s="28">
        <v>-30368.807339449537</v>
      </c>
      <c r="P16" s="28">
        <v>-32053.211009174312</v>
      </c>
      <c r="Q16" s="32"/>
      <c r="R16" s="3" t="s">
        <v>58</v>
      </c>
      <c r="S16" s="86"/>
      <c r="T16" s="28">
        <v>-27000</v>
      </c>
      <c r="U16" s="28">
        <v>-28684.403669724765</v>
      </c>
      <c r="V16" s="28">
        <v>-30368.807339449537</v>
      </c>
      <c r="W16" s="28">
        <v>-32053.211009174312</v>
      </c>
    </row>
    <row r="17" spans="4:23" x14ac:dyDescent="0.2">
      <c r="D17" s="3" t="s">
        <v>162</v>
      </c>
      <c r="E17" s="86"/>
      <c r="F17" s="28">
        <f>F13+F16</f>
        <v>146394.49541284403</v>
      </c>
      <c r="G17" s="28">
        <f>G13+G16</f>
        <v>155609.17431192659</v>
      </c>
      <c r="H17" s="28">
        <f>H13+H16</f>
        <v>164823.85321100918</v>
      </c>
      <c r="I17" s="28">
        <f>I13+I16</f>
        <v>174038.53211009174</v>
      </c>
      <c r="J17" s="32"/>
      <c r="K17" s="3" t="s">
        <v>162</v>
      </c>
      <c r="L17" s="86"/>
      <c r="M17" s="28">
        <v>146394.49541284403</v>
      </c>
      <c r="N17" s="28">
        <v>155609.17431192659</v>
      </c>
      <c r="O17" s="28">
        <v>164823.85321100918</v>
      </c>
      <c r="P17" s="28">
        <v>174038.53211009174</v>
      </c>
      <c r="Q17" s="32"/>
      <c r="R17" s="3" t="s">
        <v>162</v>
      </c>
      <c r="S17" s="86"/>
      <c r="T17" s="28">
        <v>146394.49541284403</v>
      </c>
      <c r="U17" s="28">
        <v>155609.17431192659</v>
      </c>
      <c r="V17" s="28">
        <v>164823.85321100918</v>
      </c>
      <c r="W17" s="28">
        <v>174038.53211009174</v>
      </c>
    </row>
    <row r="18" spans="4:23" x14ac:dyDescent="0.2">
      <c r="D18" s="163" t="s">
        <v>75</v>
      </c>
      <c r="E18" s="86"/>
      <c r="F18" s="32">
        <f>'3. Employee expenses'!I33</f>
        <v>-106250</v>
      </c>
      <c r="G18" s="32">
        <f>+'3. Employee expenses'!N33</f>
        <v>-111562.5</v>
      </c>
      <c r="H18" s="32">
        <f>+'3. Employee expenses'!S21</f>
        <v>-117140.625</v>
      </c>
      <c r="I18" s="32">
        <f>+'3. Employee expenses'!X33</f>
        <v>-122997.65625</v>
      </c>
      <c r="J18" s="32"/>
      <c r="K18" s="87" t="s">
        <v>75</v>
      </c>
      <c r="L18" s="86"/>
      <c r="M18" s="32">
        <v>-106250</v>
      </c>
      <c r="N18" s="32">
        <v>-111562.5</v>
      </c>
      <c r="O18" s="32">
        <v>-117140.625</v>
      </c>
      <c r="P18" s="32">
        <v>-122997.65625</v>
      </c>
      <c r="Q18" s="32"/>
      <c r="R18" s="87" t="s">
        <v>75</v>
      </c>
      <c r="S18" s="86"/>
      <c r="T18" s="32">
        <v>-106250</v>
      </c>
      <c r="U18" s="32">
        <v>-111562.5</v>
      </c>
      <c r="V18" s="32">
        <v>-117140.625</v>
      </c>
      <c r="W18" s="32">
        <v>-122997.65625</v>
      </c>
    </row>
    <row r="19" spans="4:23" ht="12" x14ac:dyDescent="0.35">
      <c r="D19" s="87" t="s">
        <v>74</v>
      </c>
      <c r="E19" s="86"/>
      <c r="F19" s="63">
        <f>'4. Other expenses and CIT'!F15</f>
        <v>-25000</v>
      </c>
      <c r="G19" s="63">
        <f>'4. Other expenses and CIT'!G15</f>
        <v>-25750</v>
      </c>
      <c r="H19" s="63">
        <f>'4. Other expenses and CIT'!H15</f>
        <v>-26522.5</v>
      </c>
      <c r="I19" s="63">
        <f>'4. Other expenses and CIT'!I15</f>
        <v>-27318.175000000003</v>
      </c>
      <c r="J19" s="32"/>
      <c r="K19" s="87" t="s">
        <v>74</v>
      </c>
      <c r="L19" s="86"/>
      <c r="M19" s="63">
        <v>-25000</v>
      </c>
      <c r="N19" s="63">
        <v>-25750</v>
      </c>
      <c r="O19" s="63">
        <v>-26522.5</v>
      </c>
      <c r="P19" s="63">
        <v>-27318.175000000003</v>
      </c>
      <c r="Q19" s="32"/>
      <c r="R19" s="87" t="s">
        <v>74</v>
      </c>
      <c r="S19" s="86"/>
      <c r="T19" s="63">
        <v>-25000</v>
      </c>
      <c r="U19" s="63">
        <v>-25750</v>
      </c>
      <c r="V19" s="63">
        <v>-26522.5</v>
      </c>
      <c r="W19" s="63">
        <v>-27318.175000000003</v>
      </c>
    </row>
    <row r="20" spans="4:23" ht="12" x14ac:dyDescent="0.35">
      <c r="D20" s="3" t="s">
        <v>87</v>
      </c>
      <c r="E20" s="86"/>
      <c r="F20" s="127">
        <f>SUM(F18:F19)</f>
        <v>-131250</v>
      </c>
      <c r="G20" s="127">
        <f>SUM(G18:G19)</f>
        <v>-137312.5</v>
      </c>
      <c r="H20" s="127">
        <f>SUM(H18:H19)</f>
        <v>-143663.125</v>
      </c>
      <c r="I20" s="127">
        <f>SUM(I18:I19)</f>
        <v>-150315.83124999999</v>
      </c>
      <c r="J20" s="32"/>
      <c r="K20" s="3" t="s">
        <v>87</v>
      </c>
      <c r="L20" s="86"/>
      <c r="M20" s="127">
        <v>-131250</v>
      </c>
      <c r="N20" s="127">
        <v>-137312.5</v>
      </c>
      <c r="O20" s="127">
        <v>-143663.125</v>
      </c>
      <c r="P20" s="127">
        <v>-150315.83124999999</v>
      </c>
      <c r="Q20" s="32"/>
      <c r="R20" s="3" t="s">
        <v>87</v>
      </c>
      <c r="S20" s="86"/>
      <c r="T20" s="127">
        <v>-131250</v>
      </c>
      <c r="U20" s="127">
        <v>-137312.5</v>
      </c>
      <c r="V20" s="127">
        <v>-143663.125</v>
      </c>
      <c r="W20" s="127">
        <v>-150315.83124999999</v>
      </c>
    </row>
    <row r="21" spans="4:23" ht="10.8" thickBot="1" x14ac:dyDescent="0.25">
      <c r="D21" s="3" t="s">
        <v>1</v>
      </c>
      <c r="E21" s="85"/>
      <c r="F21" s="28">
        <f>+F17+F20</f>
        <v>15144.495412844029</v>
      </c>
      <c r="G21" s="28">
        <f>+G17+G20</f>
        <v>18296.674311926588</v>
      </c>
      <c r="H21" s="28">
        <f>+H17+H20</f>
        <v>21160.728211009176</v>
      </c>
      <c r="I21" s="28">
        <f>+I17+I20</f>
        <v>23722.700860091747</v>
      </c>
      <c r="J21" s="32"/>
      <c r="K21" s="3" t="s">
        <v>1</v>
      </c>
      <c r="L21" s="85"/>
      <c r="M21" s="28">
        <v>15144.495412844029</v>
      </c>
      <c r="N21" s="28">
        <v>18296.674311926588</v>
      </c>
      <c r="O21" s="28">
        <v>21160.728211009176</v>
      </c>
      <c r="P21" s="28">
        <v>23722.700860091747</v>
      </c>
      <c r="Q21" s="32"/>
      <c r="R21" s="3" t="s">
        <v>1</v>
      </c>
      <c r="S21" s="85"/>
      <c r="T21" s="28">
        <v>15144.495412844029</v>
      </c>
      <c r="U21" s="28">
        <v>18296.674311926588</v>
      </c>
      <c r="V21" s="28">
        <v>21160.728211009176</v>
      </c>
      <c r="W21" s="28">
        <v>23722.700860091747</v>
      </c>
    </row>
    <row r="22" spans="4:23" ht="12.6" thickBot="1" x14ac:dyDescent="0.4">
      <c r="D22" s="87" t="s">
        <v>24</v>
      </c>
      <c r="E22" s="86"/>
      <c r="F22" s="63">
        <f>'5. Depreciation and investments'!F33</f>
        <v>-2000</v>
      </c>
      <c r="G22" s="63">
        <f>'5. Depreciation and investments'!G33</f>
        <v>-2000</v>
      </c>
      <c r="H22" s="63">
        <f>'5. Depreciation and investments'!H33</f>
        <v>-3500</v>
      </c>
      <c r="I22" s="63">
        <f>'5. Depreciation and investments'!I33</f>
        <v>-3500</v>
      </c>
      <c r="J22" s="32"/>
      <c r="K22" s="87" t="s">
        <v>24</v>
      </c>
      <c r="L22" s="86"/>
      <c r="M22" s="63">
        <v>-2000</v>
      </c>
      <c r="N22" s="63">
        <v>-2000</v>
      </c>
      <c r="O22" s="141">
        <v>-3500</v>
      </c>
      <c r="P22" s="63">
        <v>-3500</v>
      </c>
      <c r="Q22" s="32"/>
      <c r="R22" s="87" t="s">
        <v>24</v>
      </c>
      <c r="S22" s="86"/>
      <c r="T22" s="63">
        <v>-2000</v>
      </c>
      <c r="U22" s="63">
        <v>-2000</v>
      </c>
      <c r="V22" s="63">
        <v>-3500</v>
      </c>
      <c r="W22" s="63">
        <v>-3500</v>
      </c>
    </row>
    <row r="23" spans="4:23" x14ac:dyDescent="0.2">
      <c r="D23" s="3" t="s">
        <v>3</v>
      </c>
      <c r="E23" s="86"/>
      <c r="F23" s="28">
        <f>+F21+F22</f>
        <v>13144.495412844029</v>
      </c>
      <c r="G23" s="28">
        <f>+G21+G22</f>
        <v>16296.674311926588</v>
      </c>
      <c r="H23" s="28">
        <f>+H21+H22</f>
        <v>17660.728211009176</v>
      </c>
      <c r="I23" s="28">
        <f>+I21+I22</f>
        <v>20222.700860091747</v>
      </c>
      <c r="J23" s="32"/>
      <c r="K23" s="3" t="s">
        <v>3</v>
      </c>
      <c r="L23" s="86"/>
      <c r="M23" s="28">
        <v>13144.495412844029</v>
      </c>
      <c r="N23" s="28">
        <v>16296.674311926588</v>
      </c>
      <c r="O23" s="28">
        <v>17660.728211009176</v>
      </c>
      <c r="P23" s="28">
        <v>20222.700860091747</v>
      </c>
      <c r="Q23" s="32"/>
      <c r="R23" s="3" t="s">
        <v>3</v>
      </c>
      <c r="S23" s="86"/>
      <c r="T23" s="28">
        <v>13144.495412844029</v>
      </c>
      <c r="U23" s="28">
        <v>16296.674311926588</v>
      </c>
      <c r="V23" s="28">
        <v>17660.728211009176</v>
      </c>
      <c r="W23" s="28">
        <v>20222.700860091747</v>
      </c>
    </row>
    <row r="24" spans="4:23" ht="12" x14ac:dyDescent="0.35">
      <c r="D24" s="87" t="s">
        <v>136</v>
      </c>
      <c r="E24" s="86"/>
      <c r="F24" s="63">
        <f>+'7. Debt and interest'!F18</f>
        <v>-1750.0000000000002</v>
      </c>
      <c r="G24" s="63">
        <f>+'7. Debt and interest'!G18</f>
        <v>-1400.0000000000002</v>
      </c>
      <c r="H24" s="63">
        <f>+'7. Debt and interest'!H18</f>
        <v>-1050</v>
      </c>
      <c r="I24" s="63">
        <f>+'7. Debt and interest'!I18</f>
        <v>-700.00000000000011</v>
      </c>
      <c r="J24" s="32"/>
      <c r="K24" s="87" t="s">
        <v>136</v>
      </c>
      <c r="L24" s="86"/>
      <c r="M24" s="63">
        <v>-1750.0000000000002</v>
      </c>
      <c r="N24" s="63">
        <v>-1400.0000000000002</v>
      </c>
      <c r="O24" s="63">
        <v>-1050</v>
      </c>
      <c r="P24" s="63">
        <v>-700.00000000000011</v>
      </c>
      <c r="Q24" s="32"/>
      <c r="R24" s="87" t="s">
        <v>136</v>
      </c>
      <c r="S24" s="86"/>
      <c r="T24" s="63">
        <v>-1750.0000000000002</v>
      </c>
      <c r="U24" s="63">
        <v>-1400.0000000000002</v>
      </c>
      <c r="V24" s="63">
        <v>-1050</v>
      </c>
      <c r="W24" s="63">
        <v>-700.00000000000011</v>
      </c>
    </row>
    <row r="25" spans="4:23" x14ac:dyDescent="0.2">
      <c r="D25" s="3" t="s">
        <v>4</v>
      </c>
      <c r="E25" s="86"/>
      <c r="F25" s="28">
        <f>+F23+F24</f>
        <v>11394.495412844029</v>
      </c>
      <c r="G25" s="28">
        <f>+G23+G24</f>
        <v>14896.674311926588</v>
      </c>
      <c r="H25" s="28">
        <f>+H23+H24</f>
        <v>16610.728211009176</v>
      </c>
      <c r="I25" s="28">
        <f>+I23+I24</f>
        <v>19522.700860091747</v>
      </c>
      <c r="J25" s="32"/>
      <c r="K25" s="3" t="s">
        <v>4</v>
      </c>
      <c r="L25" s="86"/>
      <c r="M25" s="28">
        <v>11394.495412844029</v>
      </c>
      <c r="N25" s="28">
        <v>14896.674311926588</v>
      </c>
      <c r="O25" s="28">
        <v>16610.728211009176</v>
      </c>
      <c r="P25" s="28">
        <v>19522.700860091747</v>
      </c>
      <c r="Q25" s="32"/>
      <c r="R25" s="3" t="s">
        <v>4</v>
      </c>
      <c r="S25" s="86"/>
      <c r="T25" s="28">
        <v>11394.495412844029</v>
      </c>
      <c r="U25" s="28">
        <v>14896.674311926588</v>
      </c>
      <c r="V25" s="28">
        <v>16610.728211009176</v>
      </c>
      <c r="W25" s="28">
        <v>19522.700860091747</v>
      </c>
    </row>
    <row r="26" spans="4:23" ht="12.6" thickBot="1" x14ac:dyDescent="0.4">
      <c r="D26" s="87" t="s">
        <v>88</v>
      </c>
      <c r="E26" s="86"/>
      <c r="F26" s="63">
        <f>'4. Other expenses and CIT'!F25</f>
        <v>-1709.1743119266043</v>
      </c>
      <c r="G26" s="63">
        <f>'4. Other expenses and CIT'!G25</f>
        <v>-2830.368119266052</v>
      </c>
      <c r="H26" s="63">
        <f>'4. Other expenses and CIT'!H25</f>
        <v>-3156.0383600917435</v>
      </c>
      <c r="I26" s="63">
        <f>'4. Other expenses and CIT'!I25</f>
        <v>-3709.313163417432</v>
      </c>
      <c r="J26" s="32"/>
      <c r="K26" s="87" t="s">
        <v>88</v>
      </c>
      <c r="L26" s="86"/>
      <c r="M26" s="63">
        <v>-1709.1743119266043</v>
      </c>
      <c r="N26" s="63">
        <v>-2830.368119266052</v>
      </c>
      <c r="O26" s="63">
        <v>-3156.0383600917435</v>
      </c>
      <c r="P26" s="63">
        <v>-3709.313163417432</v>
      </c>
      <c r="Q26" s="32"/>
      <c r="R26" s="87" t="s">
        <v>88</v>
      </c>
      <c r="S26" s="86"/>
      <c r="T26" s="136">
        <v>-1709.1743119266043</v>
      </c>
      <c r="U26" s="63">
        <v>-2830.368119266052</v>
      </c>
      <c r="V26" s="63">
        <v>-3156.0383600917435</v>
      </c>
      <c r="W26" s="63">
        <v>-3709.313163417432</v>
      </c>
    </row>
    <row r="27" spans="4:23" ht="12.6" thickBot="1" x14ac:dyDescent="0.4">
      <c r="D27" s="3" t="s">
        <v>89</v>
      </c>
      <c r="E27" s="86"/>
      <c r="F27" s="96">
        <f>+F25+F26</f>
        <v>9685.3211009174247</v>
      </c>
      <c r="G27" s="96">
        <f t="shared" ref="G27:I27" si="0">+G25+G26</f>
        <v>12066.306192660537</v>
      </c>
      <c r="H27" s="96">
        <f t="shared" si="0"/>
        <v>13454.689850917433</v>
      </c>
      <c r="I27" s="96">
        <f t="shared" si="0"/>
        <v>15813.387696674316</v>
      </c>
      <c r="J27" s="32"/>
      <c r="K27" s="3" t="s">
        <v>89</v>
      </c>
      <c r="L27" s="86"/>
      <c r="M27" s="96">
        <v>9685.3211009174247</v>
      </c>
      <c r="N27" s="96">
        <v>12066.306192660537</v>
      </c>
      <c r="O27" s="96">
        <v>13454.689850917433</v>
      </c>
      <c r="P27" s="96">
        <v>15813.387696674316</v>
      </c>
      <c r="Q27" s="32"/>
      <c r="R27" s="3" t="s">
        <v>89</v>
      </c>
      <c r="S27" s="86"/>
      <c r="T27" s="96">
        <v>9685.3211009174247</v>
      </c>
      <c r="U27" s="96">
        <v>12066.306192660537</v>
      </c>
      <c r="V27" s="146">
        <v>13454.689850917433</v>
      </c>
      <c r="W27" s="96">
        <v>15813.387696674316</v>
      </c>
    </row>
    <row r="28" spans="4:23" x14ac:dyDescent="0.2">
      <c r="E28" s="86"/>
      <c r="F28" s="32"/>
      <c r="G28" s="32"/>
      <c r="H28" s="32"/>
      <c r="I28" s="32"/>
      <c r="J28" s="32"/>
      <c r="L28" s="86"/>
      <c r="M28" s="32"/>
      <c r="N28" s="32"/>
      <c r="O28" s="32"/>
      <c r="P28" s="32"/>
      <c r="Q28" s="32"/>
      <c r="S28" s="86"/>
      <c r="T28" s="32"/>
      <c r="U28" s="32"/>
      <c r="V28" s="32"/>
      <c r="W28" s="32"/>
    </row>
    <row r="29" spans="4:23" hidden="1" outlineLevel="1" x14ac:dyDescent="0.2">
      <c r="D29" s="18" t="s">
        <v>97</v>
      </c>
      <c r="E29" s="17"/>
      <c r="F29" s="128">
        <f>+F21/F13</f>
        <v>8.7341269841269803E-2</v>
      </c>
      <c r="G29" s="128">
        <f t="shared" ref="G29:I29" si="1">+G21/G13</f>
        <v>9.9280042811628749E-2</v>
      </c>
      <c r="H29" s="128">
        <f t="shared" si="1"/>
        <v>0.10840944608949052</v>
      </c>
      <c r="I29" s="129">
        <f t="shared" si="1"/>
        <v>0.11510747835425572</v>
      </c>
      <c r="J29" s="32"/>
      <c r="K29" s="18" t="s">
        <v>97</v>
      </c>
      <c r="L29" s="17"/>
      <c r="M29" s="128">
        <v>8.7341269841269803E-2</v>
      </c>
      <c r="N29" s="128">
        <v>9.9280042811628749E-2</v>
      </c>
      <c r="O29" s="128">
        <v>0.10840944608949052</v>
      </c>
      <c r="P29" s="128">
        <v>0.11510747835425572</v>
      </c>
      <c r="Q29" s="32"/>
      <c r="R29" s="18" t="s">
        <v>97</v>
      </c>
      <c r="S29" s="17"/>
      <c r="T29" s="128">
        <v>8.7341269841269803E-2</v>
      </c>
      <c r="U29" s="128">
        <v>9.9280042811628749E-2</v>
      </c>
      <c r="V29" s="128">
        <v>0.10840944608949052</v>
      </c>
      <c r="W29" s="129">
        <v>0.11510747835425572</v>
      </c>
    </row>
    <row r="30" spans="4:23" hidden="1" outlineLevel="1" x14ac:dyDescent="0.2">
      <c r="D30" s="19" t="s">
        <v>98</v>
      </c>
      <c r="E30" s="23"/>
      <c r="F30" s="130">
        <f>+F23/F13</f>
        <v>7.5806878306878267E-2</v>
      </c>
      <c r="G30" s="130">
        <f t="shared" ref="G30:I30" si="2">+G23/G13</f>
        <v>8.8427792712066827E-2</v>
      </c>
      <c r="H30" s="130">
        <f t="shared" si="2"/>
        <v>9.0478444021432611E-2</v>
      </c>
      <c r="I30" s="131">
        <f t="shared" si="2"/>
        <v>9.8124750434027797E-2</v>
      </c>
      <c r="J30" s="32"/>
      <c r="K30" s="19" t="s">
        <v>98</v>
      </c>
      <c r="L30" s="23"/>
      <c r="M30" s="130">
        <v>7.5806878306878267E-2</v>
      </c>
      <c r="N30" s="130">
        <v>8.8427792712066827E-2</v>
      </c>
      <c r="O30" s="130">
        <v>9.0478444021432611E-2</v>
      </c>
      <c r="P30" s="130">
        <v>9.8124750434027797E-2</v>
      </c>
      <c r="Q30" s="32"/>
      <c r="R30" s="19" t="s">
        <v>98</v>
      </c>
      <c r="S30" s="23"/>
      <c r="T30" s="130">
        <v>7.5806878306878267E-2</v>
      </c>
      <c r="U30" s="130">
        <v>8.8427792712066827E-2</v>
      </c>
      <c r="V30" s="130">
        <v>9.0478444021432611E-2</v>
      </c>
      <c r="W30" s="131">
        <v>9.8124750434027797E-2</v>
      </c>
    </row>
    <row r="31" spans="4:23" hidden="1" outlineLevel="1" x14ac:dyDescent="0.2">
      <c r="E31" s="86"/>
      <c r="F31" s="32"/>
      <c r="G31" s="32"/>
      <c r="H31" s="32"/>
      <c r="I31" s="32"/>
      <c r="J31" s="32"/>
      <c r="L31" s="86"/>
      <c r="M31" s="32"/>
      <c r="N31" s="32"/>
      <c r="O31" s="32"/>
      <c r="P31" s="32"/>
      <c r="Q31" s="32"/>
      <c r="S31" s="86"/>
      <c r="T31" s="32"/>
      <c r="U31" s="32"/>
      <c r="V31" s="32"/>
      <c r="W31" s="32"/>
    </row>
    <row r="32" spans="4:23" hidden="1" outlineLevel="1" x14ac:dyDescent="0.2">
      <c r="E32" s="86"/>
      <c r="F32" s="32"/>
      <c r="G32" s="32"/>
      <c r="H32" s="32"/>
      <c r="I32" s="32"/>
      <c r="J32" s="32"/>
      <c r="L32" s="86"/>
      <c r="M32" s="32"/>
      <c r="N32" s="32"/>
      <c r="O32" s="32"/>
      <c r="P32" s="32"/>
      <c r="Q32" s="32"/>
      <c r="S32" s="86"/>
      <c r="T32" s="32"/>
      <c r="U32" s="32"/>
      <c r="V32" s="32"/>
      <c r="W32" s="32"/>
    </row>
    <row r="33" spans="2:29" s="57" customFormat="1" ht="15.75" customHeight="1" collapsed="1" x14ac:dyDescent="0.3">
      <c r="B33" s="56">
        <v>1.2</v>
      </c>
      <c r="D33" s="59" t="s">
        <v>168</v>
      </c>
      <c r="F33" s="113"/>
      <c r="G33" s="113"/>
      <c r="H33" s="113"/>
      <c r="I33" s="113"/>
      <c r="J33" s="113"/>
      <c r="K33" s="59" t="s">
        <v>168</v>
      </c>
      <c r="M33" s="113"/>
      <c r="N33" s="113"/>
      <c r="O33" s="113"/>
      <c r="P33" s="113"/>
      <c r="Q33" s="113"/>
      <c r="R33" s="59" t="s">
        <v>168</v>
      </c>
      <c r="T33" s="113"/>
      <c r="U33" s="113"/>
      <c r="V33" s="113"/>
      <c r="W33" s="113"/>
      <c r="Y33" s="113"/>
      <c r="Z33" s="113"/>
      <c r="AA33" s="113"/>
      <c r="AB33" s="113"/>
    </row>
    <row r="34" spans="2:29" x14ac:dyDescent="0.2">
      <c r="D34" s="20"/>
      <c r="E34" s="20"/>
      <c r="F34" s="125" t="s">
        <v>146</v>
      </c>
      <c r="G34" s="125" t="s">
        <v>147</v>
      </c>
      <c r="H34" s="125" t="s">
        <v>148</v>
      </c>
      <c r="I34" s="125" t="s">
        <v>149</v>
      </c>
      <c r="K34" s="20"/>
      <c r="L34" s="20"/>
      <c r="M34" s="125" t="s">
        <v>146</v>
      </c>
      <c r="N34" s="125" t="s">
        <v>147</v>
      </c>
      <c r="O34" s="125" t="s">
        <v>148</v>
      </c>
      <c r="P34" s="125" t="s">
        <v>149</v>
      </c>
      <c r="R34" s="20"/>
      <c r="S34" s="20"/>
      <c r="T34" s="125" t="s">
        <v>146</v>
      </c>
      <c r="U34" s="125" t="s">
        <v>147</v>
      </c>
      <c r="V34" s="125" t="s">
        <v>148</v>
      </c>
      <c r="W34" s="125" t="s">
        <v>149</v>
      </c>
      <c r="Y34" s="32"/>
      <c r="Z34" s="32"/>
      <c r="AA34" s="32"/>
      <c r="AB34" s="32"/>
      <c r="AC34" s="32"/>
    </row>
    <row r="35" spans="2:29" ht="2.1" customHeight="1" thickBot="1" x14ac:dyDescent="0.25">
      <c r="D35" s="14"/>
      <c r="E35" s="14"/>
      <c r="F35" s="126"/>
      <c r="G35" s="126"/>
      <c r="H35" s="126"/>
      <c r="I35" s="126"/>
      <c r="K35" s="14"/>
      <c r="L35" s="14"/>
      <c r="M35" s="126"/>
      <c r="N35" s="126"/>
      <c r="O35" s="126"/>
      <c r="P35" s="126"/>
      <c r="R35" s="14"/>
      <c r="S35" s="14"/>
      <c r="T35" s="126"/>
      <c r="U35" s="126"/>
      <c r="V35" s="126"/>
      <c r="W35" s="126"/>
    </row>
    <row r="36" spans="2:29" ht="10.8" thickBot="1" x14ac:dyDescent="0.25">
      <c r="D36" s="87" t="s">
        <v>78</v>
      </c>
      <c r="E36" s="86"/>
      <c r="F36" s="32">
        <f>'5. Depreciation and investments'!F32</f>
        <v>18000</v>
      </c>
      <c r="G36" s="32">
        <f>'5. Depreciation and investments'!G32</f>
        <v>16000</v>
      </c>
      <c r="H36" s="32">
        <f>'5. Depreciation and investments'!H32</f>
        <v>27500</v>
      </c>
      <c r="I36" s="32">
        <f>'5. Depreciation and investments'!I32</f>
        <v>24000</v>
      </c>
      <c r="J36" s="32"/>
      <c r="K36" s="87" t="s">
        <v>78</v>
      </c>
      <c r="L36" s="86"/>
      <c r="M36" s="32">
        <v>18000</v>
      </c>
      <c r="N36" s="137">
        <v>16000</v>
      </c>
      <c r="O36" s="138">
        <v>27500</v>
      </c>
      <c r="P36" s="32">
        <v>24000</v>
      </c>
      <c r="Q36" s="32"/>
      <c r="R36" s="87" t="s">
        <v>78</v>
      </c>
      <c r="S36" s="86"/>
      <c r="T36" s="32">
        <v>18000</v>
      </c>
      <c r="U36" s="32">
        <v>16000</v>
      </c>
      <c r="V36" s="32">
        <v>27500</v>
      </c>
      <c r="W36" s="32">
        <v>24000</v>
      </c>
      <c r="Y36" s="32"/>
      <c r="Z36" s="32"/>
      <c r="AA36" s="32"/>
      <c r="AB36" s="32"/>
      <c r="AC36" s="32"/>
    </row>
    <row r="37" spans="2:29" x14ac:dyDescent="0.2">
      <c r="D37" s="87" t="s">
        <v>79</v>
      </c>
      <c r="E37" s="86"/>
      <c r="F37" s="32">
        <f>'6. Working capital'!F13</f>
        <v>739.72602739726028</v>
      </c>
      <c r="G37" s="32">
        <f>'6. Working capital'!G13</f>
        <v>707.28666582882977</v>
      </c>
      <c r="H37" s="32">
        <f>'6. Working capital'!H13</f>
        <v>665.6176951112227</v>
      </c>
      <c r="I37" s="32">
        <f>'6. Working capital'!I13</f>
        <v>614.71911524443885</v>
      </c>
      <c r="J37" s="32"/>
      <c r="K37" s="87" t="s">
        <v>79</v>
      </c>
      <c r="L37" s="86"/>
      <c r="M37" s="118">
        <v>739.72602739726028</v>
      </c>
      <c r="N37" s="118">
        <v>707.28666582882977</v>
      </c>
      <c r="O37" s="32">
        <v>665.6176951112227</v>
      </c>
      <c r="P37" s="32">
        <v>614.71911524443885</v>
      </c>
      <c r="Q37" s="32"/>
      <c r="R37" s="87" t="s">
        <v>79</v>
      </c>
      <c r="S37" s="86"/>
      <c r="T37" s="32">
        <v>739.72602739726028</v>
      </c>
      <c r="U37" s="32">
        <v>707.28666582882977</v>
      </c>
      <c r="V37" s="32">
        <v>665.6176951112227</v>
      </c>
      <c r="W37" s="32">
        <v>614.71911524443885</v>
      </c>
      <c r="Z37" s="32"/>
      <c r="AA37" s="32"/>
      <c r="AB37" s="32"/>
    </row>
    <row r="38" spans="2:29" x14ac:dyDescent="0.2">
      <c r="D38" s="163" t="s">
        <v>180</v>
      </c>
      <c r="E38" s="86"/>
      <c r="F38" s="32">
        <f>'6. Working capital'!F17</f>
        <v>950.10682417996725</v>
      </c>
      <c r="G38" s="32">
        <f>'6. Working capital'!G17</f>
        <v>1009.8278245569937</v>
      </c>
      <c r="H38" s="32">
        <f>'6. Working capital'!H17</f>
        <v>1069.5488249340203</v>
      </c>
      <c r="I38" s="32">
        <f>'6. Working capital'!I17</f>
        <v>1129.2698253110468</v>
      </c>
      <c r="J38" s="32"/>
      <c r="K38" s="163" t="s">
        <v>180</v>
      </c>
      <c r="L38" s="86"/>
      <c r="M38" s="118">
        <v>950.10682417996725</v>
      </c>
      <c r="N38" s="118">
        <v>1009.8278245569937</v>
      </c>
      <c r="O38" s="32">
        <v>1069.5488249340203</v>
      </c>
      <c r="P38" s="32">
        <v>1129.2698253110468</v>
      </c>
      <c r="Q38" s="32"/>
      <c r="R38" s="163" t="s">
        <v>180</v>
      </c>
      <c r="S38" s="86"/>
      <c r="T38" s="32">
        <v>950.10682417996725</v>
      </c>
      <c r="U38" s="32">
        <v>1009.8278245569937</v>
      </c>
      <c r="V38" s="32">
        <v>1069.5488249340203</v>
      </c>
      <c r="W38" s="32">
        <v>1129.2698253110468</v>
      </c>
    </row>
    <row r="39" spans="2:29" ht="10.8" thickBot="1" x14ac:dyDescent="0.25">
      <c r="D39" s="87" t="s">
        <v>105</v>
      </c>
      <c r="E39" s="86"/>
      <c r="F39" s="32">
        <f>'6. Working capital'!F25</f>
        <v>1733.9449541284403</v>
      </c>
      <c r="G39" s="32">
        <f>'6. Working capital'!G25</f>
        <v>1842.9357798165136</v>
      </c>
      <c r="H39" s="32">
        <f>'6. Working capital'!H25</f>
        <v>1951.9266055045871</v>
      </c>
      <c r="I39" s="32">
        <f>'6. Working capital'!I25</f>
        <v>2060.9174311926608</v>
      </c>
      <c r="J39" s="32"/>
      <c r="K39" s="87" t="s">
        <v>105</v>
      </c>
      <c r="L39" s="86"/>
      <c r="M39" s="118">
        <v>1733.9449541284403</v>
      </c>
      <c r="N39" s="118">
        <v>1842.9357798165136</v>
      </c>
      <c r="O39" s="32">
        <v>1951.9266055045871</v>
      </c>
      <c r="P39" s="32">
        <v>2060.9174311926608</v>
      </c>
      <c r="Q39" s="32"/>
      <c r="R39" s="87" t="s">
        <v>105</v>
      </c>
      <c r="S39" s="86"/>
      <c r="T39" s="32">
        <v>1733.9449541284403</v>
      </c>
      <c r="U39" s="32">
        <v>1842.9357798165136</v>
      </c>
      <c r="V39" s="32">
        <v>1951.9266055045871</v>
      </c>
      <c r="W39" s="32">
        <v>2060.9174311926608</v>
      </c>
    </row>
    <row r="40" spans="2:29" ht="10.8" thickBot="1" x14ac:dyDescent="0.25">
      <c r="D40" s="87" t="s">
        <v>82</v>
      </c>
      <c r="E40" s="86"/>
      <c r="F40" s="132">
        <f>+E40+F73</f>
        <v>15682.556239788857</v>
      </c>
      <c r="G40" s="132">
        <f>+F40+G73</f>
        <v>25470.943618826168</v>
      </c>
      <c r="H40" s="132">
        <f>+G40+H73</f>
        <v>23203.09231101544</v>
      </c>
      <c r="I40" s="132">
        <f>+H40+I73</f>
        <v>37910.231421539196</v>
      </c>
      <c r="J40" s="32"/>
      <c r="K40" s="87" t="s">
        <v>82</v>
      </c>
      <c r="L40" s="86"/>
      <c r="M40" s="132">
        <v>15682.556239788857</v>
      </c>
      <c r="N40" s="132">
        <v>25470.943618826168</v>
      </c>
      <c r="O40" s="132">
        <v>23203.09231101544</v>
      </c>
      <c r="P40" s="132">
        <v>37910.231421539196</v>
      </c>
      <c r="Q40" s="32"/>
      <c r="R40" s="87" t="s">
        <v>82</v>
      </c>
      <c r="S40" s="86"/>
      <c r="T40" s="132">
        <v>15682.556239788857</v>
      </c>
      <c r="U40" s="132">
        <v>25470.943618826168</v>
      </c>
      <c r="V40" s="143">
        <v>23203.09231101544</v>
      </c>
      <c r="W40" s="144">
        <v>37910.231421539196</v>
      </c>
    </row>
    <row r="41" spans="2:29" ht="12" x14ac:dyDescent="0.35">
      <c r="D41" s="3" t="s">
        <v>101</v>
      </c>
      <c r="E41" s="86"/>
      <c r="F41" s="96">
        <f>SUM(F36:F40)</f>
        <v>37106.334045494528</v>
      </c>
      <c r="G41" s="96">
        <f t="shared" ref="G41:I41" si="3">SUM(G36:G40)</f>
        <v>45030.993889028505</v>
      </c>
      <c r="H41" s="96">
        <f t="shared" si="3"/>
        <v>54390.185436565269</v>
      </c>
      <c r="I41" s="96">
        <f t="shared" si="3"/>
        <v>65715.137793287344</v>
      </c>
      <c r="J41" s="32"/>
      <c r="K41" s="3" t="s">
        <v>101</v>
      </c>
      <c r="L41" s="86"/>
      <c r="M41" s="96">
        <v>37106.334045494528</v>
      </c>
      <c r="N41" s="96">
        <v>45030.993889028505</v>
      </c>
      <c r="O41" s="96">
        <v>54390.185436565269</v>
      </c>
      <c r="P41" s="96">
        <v>65715.137793287344</v>
      </c>
      <c r="Q41" s="32"/>
      <c r="R41" s="3" t="s">
        <v>101</v>
      </c>
      <c r="S41" s="86"/>
      <c r="T41" s="96">
        <v>37106.334045494528</v>
      </c>
      <c r="U41" s="96">
        <v>45030.993889028505</v>
      </c>
      <c r="V41" s="96">
        <v>54390.185436565269</v>
      </c>
      <c r="W41" s="96">
        <v>65715.137793287344</v>
      </c>
    </row>
    <row r="42" spans="2:29" ht="10.8" thickBot="1" x14ac:dyDescent="0.25">
      <c r="E42" s="86"/>
      <c r="F42" s="32"/>
      <c r="G42" s="32"/>
      <c r="H42" s="32"/>
      <c r="I42" s="32"/>
      <c r="J42" s="32"/>
      <c r="L42" s="86"/>
      <c r="M42" s="32"/>
      <c r="N42" s="32"/>
      <c r="O42" s="32"/>
      <c r="P42" s="32"/>
      <c r="Q42" s="32"/>
      <c r="S42" s="86"/>
      <c r="T42" s="32"/>
      <c r="U42" s="32"/>
      <c r="V42" s="32"/>
      <c r="W42" s="32"/>
    </row>
    <row r="43" spans="2:29" ht="10.8" thickBot="1" x14ac:dyDescent="0.25">
      <c r="D43" s="87" t="s">
        <v>102</v>
      </c>
      <c r="E43" s="86"/>
      <c r="F43" s="32">
        <f>+E43+F27</f>
        <v>9685.3211009174247</v>
      </c>
      <c r="G43" s="32">
        <f>+F43+G27</f>
        <v>21751.627293577963</v>
      </c>
      <c r="H43" s="32">
        <f>+G43+H27</f>
        <v>35206.317144495399</v>
      </c>
      <c r="I43" s="32">
        <f>+H43+I27</f>
        <v>51019.704841169718</v>
      </c>
      <c r="J43" s="32"/>
      <c r="K43" s="87" t="s">
        <v>102</v>
      </c>
      <c r="L43" s="86"/>
      <c r="M43" s="32">
        <v>9685.3211009174247</v>
      </c>
      <c r="N43" s="32">
        <v>21751.627293577963</v>
      </c>
      <c r="O43" s="32">
        <v>35206.317144495399</v>
      </c>
      <c r="P43" s="32">
        <v>51019.704841169718</v>
      </c>
      <c r="Q43" s="32"/>
      <c r="R43" s="87" t="s">
        <v>102</v>
      </c>
      <c r="S43" s="86"/>
      <c r="T43" s="32">
        <v>9685.3211009174247</v>
      </c>
      <c r="U43" s="137">
        <v>21751.627293577963</v>
      </c>
      <c r="V43" s="138">
        <v>35206.317144495399</v>
      </c>
      <c r="W43" s="32">
        <v>51019.704841169718</v>
      </c>
    </row>
    <row r="44" spans="2:29" ht="10.8" thickBot="1" x14ac:dyDescent="0.25">
      <c r="D44" s="87" t="s">
        <v>103</v>
      </c>
      <c r="E44" s="86"/>
      <c r="F44" s="32">
        <f>+'7. Debt and interest'!F17</f>
        <v>20000</v>
      </c>
      <c r="G44" s="32">
        <f>+'7. Debt and interest'!G17</f>
        <v>15000</v>
      </c>
      <c r="H44" s="32">
        <f>+'7. Debt and interest'!H17</f>
        <v>10000</v>
      </c>
      <c r="I44" s="32">
        <f>+'7. Debt and interest'!I17</f>
        <v>5000</v>
      </c>
      <c r="J44" s="32"/>
      <c r="K44" s="87" t="s">
        <v>103</v>
      </c>
      <c r="L44" s="86"/>
      <c r="M44" s="32">
        <v>20000</v>
      </c>
      <c r="N44" s="32">
        <v>15000</v>
      </c>
      <c r="O44" s="143">
        <v>10000</v>
      </c>
      <c r="P44" s="144">
        <v>5000</v>
      </c>
      <c r="Q44" s="32"/>
      <c r="R44" s="87" t="s">
        <v>103</v>
      </c>
      <c r="S44" s="86"/>
      <c r="T44" s="32">
        <v>20000</v>
      </c>
      <c r="U44" s="32">
        <v>15000</v>
      </c>
      <c r="V44" s="32">
        <v>10000</v>
      </c>
      <c r="W44" s="32">
        <v>5000</v>
      </c>
    </row>
    <row r="45" spans="2:29" x14ac:dyDescent="0.2">
      <c r="D45" s="163" t="s">
        <v>182</v>
      </c>
      <c r="E45" s="86"/>
      <c r="F45" s="32">
        <f>'6. Working capital'!F21</f>
        <v>2219.1780821917805</v>
      </c>
      <c r="G45" s="32">
        <f>'6. Working capital'!G21</f>
        <v>2750.5592560010045</v>
      </c>
      <c r="H45" s="32">
        <f>'6. Working capital'!H21</f>
        <v>3328.0884755561133</v>
      </c>
      <c r="I45" s="32">
        <f>'6. Working capital'!I21</f>
        <v>3512.6806585396503</v>
      </c>
      <c r="J45" s="32"/>
      <c r="K45" s="163" t="s">
        <v>182</v>
      </c>
      <c r="L45" s="86"/>
      <c r="M45" s="118">
        <v>2219.1780821917805</v>
      </c>
      <c r="N45" s="118">
        <v>2750.5592560010045</v>
      </c>
      <c r="O45" s="32">
        <v>3328.0884755561133</v>
      </c>
      <c r="P45" s="32">
        <v>3512.6806585396503</v>
      </c>
      <c r="Q45" s="32"/>
      <c r="R45" s="163" t="s">
        <v>182</v>
      </c>
      <c r="S45" s="86"/>
      <c r="T45" s="32">
        <v>2219.1780821917805</v>
      </c>
      <c r="U45" s="32">
        <v>2750.5592560010045</v>
      </c>
      <c r="V45" s="32">
        <v>3328.0884755561133</v>
      </c>
      <c r="W45" s="32">
        <v>3512.6806585396503</v>
      </c>
    </row>
    <row r="46" spans="2:29" x14ac:dyDescent="0.2">
      <c r="D46" s="87" t="s">
        <v>104</v>
      </c>
      <c r="E46" s="86"/>
      <c r="F46" s="132">
        <f>'6. Working capital'!F29</f>
        <v>5201.8348623853208</v>
      </c>
      <c r="G46" s="132">
        <f>'6. Working capital'!G29</f>
        <v>5528.8073394495405</v>
      </c>
      <c r="H46" s="132">
        <f>'6. Working capital'!H29</f>
        <v>5855.779816513761</v>
      </c>
      <c r="I46" s="132">
        <f>'6. Working capital'!I29</f>
        <v>6182.7522935779816</v>
      </c>
      <c r="J46" s="32"/>
      <c r="K46" s="87" t="s">
        <v>104</v>
      </c>
      <c r="L46" s="86"/>
      <c r="M46" s="135">
        <v>5201.8348623853208</v>
      </c>
      <c r="N46" s="135">
        <v>5528.8073394495405</v>
      </c>
      <c r="O46" s="132">
        <v>5855.779816513761</v>
      </c>
      <c r="P46" s="132">
        <v>6182.7522935779816</v>
      </c>
      <c r="Q46" s="32"/>
      <c r="R46" s="87" t="s">
        <v>104</v>
      </c>
      <c r="S46" s="86"/>
      <c r="T46" s="132">
        <v>5201.8348623853208</v>
      </c>
      <c r="U46" s="132">
        <v>5528.8073394495405</v>
      </c>
      <c r="V46" s="132">
        <v>5855.779816513761</v>
      </c>
      <c r="W46" s="132">
        <v>6182.7522935779816</v>
      </c>
    </row>
    <row r="47" spans="2:29" ht="12" x14ac:dyDescent="0.35">
      <c r="D47" s="3" t="s">
        <v>106</v>
      </c>
      <c r="E47" s="86"/>
      <c r="F47" s="96">
        <f>SUM(F43:F46)</f>
        <v>37106.334045494528</v>
      </c>
      <c r="G47" s="96">
        <f t="shared" ref="G47:I47" si="4">SUM(G43:G46)</f>
        <v>45030.993889028512</v>
      </c>
      <c r="H47" s="96">
        <f t="shared" si="4"/>
        <v>54390.185436565269</v>
      </c>
      <c r="I47" s="96">
        <f t="shared" si="4"/>
        <v>65715.137793287344</v>
      </c>
      <c r="J47" s="32"/>
      <c r="K47" s="3" t="s">
        <v>106</v>
      </c>
      <c r="L47" s="86"/>
      <c r="M47" s="96">
        <v>37106.334045494528</v>
      </c>
      <c r="N47" s="96">
        <v>45030.993889028512</v>
      </c>
      <c r="O47" s="96">
        <v>54390.185436565269</v>
      </c>
      <c r="P47" s="96">
        <v>65715.137793287344</v>
      </c>
      <c r="Q47" s="32"/>
      <c r="R47" s="3" t="s">
        <v>106</v>
      </c>
      <c r="S47" s="86"/>
      <c r="T47" s="96">
        <v>37106.334045494528</v>
      </c>
      <c r="U47" s="96">
        <v>45030.993889028512</v>
      </c>
      <c r="V47" s="96">
        <v>54390.185436565269</v>
      </c>
      <c r="W47" s="96">
        <v>65715.137793287344</v>
      </c>
    </row>
    <row r="48" spans="2:29" x14ac:dyDescent="0.2">
      <c r="E48" s="86"/>
      <c r="F48" s="32"/>
      <c r="G48" s="32"/>
      <c r="H48" s="32"/>
      <c r="I48" s="32"/>
      <c r="J48" s="32"/>
      <c r="L48" s="86"/>
      <c r="M48" s="32"/>
      <c r="N48" s="32"/>
      <c r="O48" s="32"/>
      <c r="P48" s="32"/>
      <c r="Q48" s="32"/>
      <c r="S48" s="86"/>
      <c r="T48" s="32"/>
      <c r="U48" s="32"/>
      <c r="V48" s="32"/>
      <c r="W48" s="32"/>
    </row>
    <row r="49" spans="2:23" s="57" customFormat="1" ht="15.75" customHeight="1" x14ac:dyDescent="0.3">
      <c r="B49" s="56">
        <v>1.3</v>
      </c>
      <c r="D49" s="59" t="s">
        <v>169</v>
      </c>
      <c r="F49" s="113"/>
      <c r="G49" s="113"/>
      <c r="H49" s="113"/>
      <c r="I49" s="113"/>
      <c r="J49" s="113"/>
      <c r="K49" s="59" t="s">
        <v>169</v>
      </c>
      <c r="M49" s="113"/>
      <c r="N49" s="113"/>
      <c r="O49" s="113"/>
      <c r="P49" s="113"/>
      <c r="Q49" s="113"/>
      <c r="R49" s="59" t="s">
        <v>169</v>
      </c>
      <c r="T49" s="113"/>
      <c r="U49" s="113"/>
      <c r="V49" s="113"/>
      <c r="W49" s="113"/>
    </row>
    <row r="50" spans="2:23" x14ac:dyDescent="0.2">
      <c r="D50" s="20"/>
      <c r="E50" s="20"/>
      <c r="F50" s="125" t="s">
        <v>146</v>
      </c>
      <c r="G50" s="125" t="s">
        <v>147</v>
      </c>
      <c r="H50" s="125" t="s">
        <v>148</v>
      </c>
      <c r="I50" s="125" t="s">
        <v>149</v>
      </c>
      <c r="K50" s="20"/>
      <c r="L50" s="20"/>
      <c r="M50" s="125" t="s">
        <v>146</v>
      </c>
      <c r="N50" s="125" t="s">
        <v>147</v>
      </c>
      <c r="O50" s="125" t="s">
        <v>148</v>
      </c>
      <c r="P50" s="125" t="s">
        <v>149</v>
      </c>
      <c r="R50" s="20"/>
      <c r="S50" s="20"/>
      <c r="T50" s="125" t="s">
        <v>146</v>
      </c>
      <c r="U50" s="125" t="s">
        <v>147</v>
      </c>
      <c r="V50" s="125" t="s">
        <v>148</v>
      </c>
      <c r="W50" s="125" t="s">
        <v>149</v>
      </c>
    </row>
    <row r="51" spans="2:23" ht="2.1" customHeight="1" x14ac:dyDescent="0.2">
      <c r="D51" s="87"/>
      <c r="F51" s="32"/>
      <c r="G51" s="32"/>
      <c r="H51" s="32"/>
      <c r="I51" s="32"/>
      <c r="J51" s="32"/>
      <c r="K51" s="87"/>
      <c r="M51" s="32"/>
      <c r="N51" s="32"/>
      <c r="O51" s="32"/>
      <c r="P51" s="32"/>
      <c r="Q51" s="32"/>
      <c r="R51" s="87"/>
      <c r="T51" s="32"/>
      <c r="U51" s="32"/>
      <c r="V51" s="32"/>
      <c r="W51" s="32"/>
    </row>
    <row r="52" spans="2:23" x14ac:dyDescent="0.2">
      <c r="D52" s="133" t="s">
        <v>3</v>
      </c>
      <c r="F52" s="32">
        <f>F23</f>
        <v>13144.495412844029</v>
      </c>
      <c r="G52" s="32">
        <f>G23</f>
        <v>16296.674311926588</v>
      </c>
      <c r="H52" s="32">
        <f>H23</f>
        <v>17660.728211009176</v>
      </c>
      <c r="I52" s="32">
        <f>I23</f>
        <v>20222.700860091747</v>
      </c>
      <c r="J52" s="32"/>
      <c r="K52" s="133" t="s">
        <v>3</v>
      </c>
      <c r="M52" s="32">
        <v>13144.495412844029</v>
      </c>
      <c r="N52" s="32">
        <v>16296.674311926588</v>
      </c>
      <c r="O52" s="32">
        <v>17660.728211009176</v>
      </c>
      <c r="P52" s="32">
        <v>20222.700860091747</v>
      </c>
      <c r="Q52" s="32"/>
      <c r="R52" s="133" t="s">
        <v>3</v>
      </c>
      <c r="T52" s="32">
        <v>13144.495412844029</v>
      </c>
      <c r="U52" s="32">
        <v>16296.674311926588</v>
      </c>
      <c r="V52" s="32">
        <v>17660.728211009176</v>
      </c>
      <c r="W52" s="32">
        <v>20222.700860091747</v>
      </c>
    </row>
    <row r="53" spans="2:23" x14ac:dyDescent="0.2">
      <c r="D53" s="133" t="s">
        <v>167</v>
      </c>
      <c r="F53" s="132">
        <f>'4. Other expenses and CIT'!F35</f>
        <v>-1971.6743119266043</v>
      </c>
      <c r="G53" s="132">
        <f>'4. Other expenses and CIT'!G35</f>
        <v>-3096.368119266052</v>
      </c>
      <c r="H53" s="132">
        <f>'4. Other expenses and CIT'!H35</f>
        <v>-3355.5383600917435</v>
      </c>
      <c r="I53" s="132">
        <f>'4. Other expenses and CIT'!I35</f>
        <v>-3842.313163417432</v>
      </c>
      <c r="J53" s="32"/>
      <c r="K53" s="133" t="s">
        <v>167</v>
      </c>
      <c r="M53" s="132">
        <v>-1971.6743119266043</v>
      </c>
      <c r="N53" s="132">
        <v>-3096.368119266052</v>
      </c>
      <c r="O53" s="132">
        <v>-3355.5383600917435</v>
      </c>
      <c r="P53" s="132">
        <v>-3842.313163417432</v>
      </c>
      <c r="Q53" s="32"/>
      <c r="R53" s="133" t="s">
        <v>167</v>
      </c>
      <c r="T53" s="135">
        <v>-1971.6743119266043</v>
      </c>
      <c r="U53" s="132">
        <v>-3096.368119266052</v>
      </c>
      <c r="V53" s="132">
        <v>-3355.5383600917435</v>
      </c>
      <c r="W53" s="132">
        <v>-3842.313163417432</v>
      </c>
    </row>
    <row r="54" spans="2:23" x14ac:dyDescent="0.2">
      <c r="D54" s="134" t="s">
        <v>129</v>
      </c>
      <c r="E54" s="3"/>
      <c r="F54" s="28">
        <f>SUM(F52:F53)</f>
        <v>11172.821100917425</v>
      </c>
      <c r="G54" s="28">
        <f t="shared" ref="G54:I54" si="5">SUM(G52:G53)</f>
        <v>13200.306192660537</v>
      </c>
      <c r="H54" s="28">
        <f t="shared" si="5"/>
        <v>14305.189850917433</v>
      </c>
      <c r="I54" s="28">
        <f t="shared" si="5"/>
        <v>16380.387696674316</v>
      </c>
      <c r="J54" s="32"/>
      <c r="K54" s="134" t="s">
        <v>129</v>
      </c>
      <c r="L54" s="3"/>
      <c r="M54" s="28">
        <v>11172.821100917425</v>
      </c>
      <c r="N54" s="28">
        <v>13200.306192660537</v>
      </c>
      <c r="O54" s="28">
        <v>14305.189850917433</v>
      </c>
      <c r="P54" s="28">
        <v>16380.387696674316</v>
      </c>
      <c r="Q54" s="32"/>
      <c r="R54" s="134" t="s">
        <v>129</v>
      </c>
      <c r="S54" s="3"/>
      <c r="T54" s="28">
        <v>11172.821100917425</v>
      </c>
      <c r="U54" s="28">
        <v>13200.306192660537</v>
      </c>
      <c r="V54" s="28">
        <v>14305.189850917433</v>
      </c>
      <c r="W54" s="28">
        <v>16380.387696674316</v>
      </c>
    </row>
    <row r="55" spans="2:23" x14ac:dyDescent="0.2">
      <c r="D55" s="133" t="s">
        <v>130</v>
      </c>
      <c r="F55" s="32">
        <f>-(F37-E37)</f>
        <v>-739.72602739726028</v>
      </c>
      <c r="G55" s="32">
        <f t="shared" ref="G55:I57" si="6">-(G37-F37)</f>
        <v>32.439361568430513</v>
      </c>
      <c r="H55" s="32">
        <f t="shared" si="6"/>
        <v>41.668970717607067</v>
      </c>
      <c r="I55" s="32">
        <f t="shared" si="6"/>
        <v>50.898579866783848</v>
      </c>
      <c r="J55" s="32"/>
      <c r="K55" s="133" t="s">
        <v>130</v>
      </c>
      <c r="M55" s="32">
        <v>-739.72602739726028</v>
      </c>
      <c r="N55" s="118">
        <v>32.439361568430513</v>
      </c>
      <c r="O55" s="32">
        <v>41.668970717607067</v>
      </c>
      <c r="P55" s="32">
        <v>50.898579866783848</v>
      </c>
      <c r="Q55" s="32"/>
      <c r="R55" s="133" t="s">
        <v>130</v>
      </c>
      <c r="T55" s="32">
        <v>-739.72602739726028</v>
      </c>
      <c r="U55" s="32">
        <v>32.439361568430513</v>
      </c>
      <c r="V55" s="32">
        <v>41.668970717607067</v>
      </c>
      <c r="W55" s="32">
        <v>50.898579866783848</v>
      </c>
    </row>
    <row r="56" spans="2:23" x14ac:dyDescent="0.2">
      <c r="D56" s="164" t="s">
        <v>181</v>
      </c>
      <c r="F56" s="32">
        <f>-(F38-E38)</f>
        <v>-950.10682417996725</v>
      </c>
      <c r="G56" s="32">
        <f t="shared" si="6"/>
        <v>-59.721000377026485</v>
      </c>
      <c r="H56" s="32">
        <f t="shared" si="6"/>
        <v>-59.721000377026598</v>
      </c>
      <c r="I56" s="32">
        <f t="shared" si="6"/>
        <v>-59.721000377026485</v>
      </c>
      <c r="J56" s="32"/>
      <c r="K56" s="164" t="s">
        <v>181</v>
      </c>
      <c r="M56" s="32">
        <v>-950.10682417996725</v>
      </c>
      <c r="N56" s="118">
        <v>-59.721000377026485</v>
      </c>
      <c r="O56" s="32">
        <v>-59.721000377026598</v>
      </c>
      <c r="P56" s="32">
        <v>-59.721000377026485</v>
      </c>
      <c r="Q56" s="32"/>
      <c r="R56" s="164" t="s">
        <v>181</v>
      </c>
      <c r="T56" s="32">
        <v>-950.10682417996725</v>
      </c>
      <c r="U56" s="32">
        <v>-59.721000377026485</v>
      </c>
      <c r="V56" s="32">
        <v>-59.721000377026598</v>
      </c>
      <c r="W56" s="32">
        <v>-59.721000377026485</v>
      </c>
    </row>
    <row r="57" spans="2:23" x14ac:dyDescent="0.2">
      <c r="D57" s="133" t="s">
        <v>131</v>
      </c>
      <c r="F57" s="32">
        <f>-(F39-E39)</f>
        <v>-1733.9449541284403</v>
      </c>
      <c r="G57" s="32">
        <f t="shared" si="6"/>
        <v>-108.9908256880733</v>
      </c>
      <c r="H57" s="32">
        <f t="shared" si="6"/>
        <v>-108.99082568807353</v>
      </c>
      <c r="I57" s="32">
        <f t="shared" si="6"/>
        <v>-108.99082568807376</v>
      </c>
      <c r="J57" s="32"/>
      <c r="K57" s="133" t="s">
        <v>131</v>
      </c>
      <c r="M57" s="32">
        <v>-1733.9449541284403</v>
      </c>
      <c r="N57" s="118">
        <v>-108.9908256880733</v>
      </c>
      <c r="O57" s="32">
        <v>-108.99082568807353</v>
      </c>
      <c r="P57" s="32">
        <v>-108.99082568807376</v>
      </c>
      <c r="Q57" s="32"/>
      <c r="R57" s="133" t="s">
        <v>131</v>
      </c>
      <c r="T57" s="32">
        <v>-1733.9449541284403</v>
      </c>
      <c r="U57" s="32">
        <v>-108.9908256880733</v>
      </c>
      <c r="V57" s="32">
        <v>-108.99082568807353</v>
      </c>
      <c r="W57" s="32">
        <v>-108.99082568807376</v>
      </c>
    </row>
    <row r="58" spans="2:23" x14ac:dyDescent="0.2">
      <c r="D58" s="164" t="s">
        <v>183</v>
      </c>
      <c r="F58" s="32">
        <f>+F45-E45</f>
        <v>2219.1780821917805</v>
      </c>
      <c r="G58" s="32">
        <f t="shared" ref="G58:I59" si="7">+G45-F45</f>
        <v>531.38117380922404</v>
      </c>
      <c r="H58" s="32">
        <f t="shared" si="7"/>
        <v>577.52921955510874</v>
      </c>
      <c r="I58" s="32">
        <f t="shared" si="7"/>
        <v>184.59218298353699</v>
      </c>
      <c r="J58" s="32"/>
      <c r="K58" s="164" t="s">
        <v>183</v>
      </c>
      <c r="M58" s="32">
        <v>2219.1780821917805</v>
      </c>
      <c r="N58" s="118">
        <v>531.38117380922404</v>
      </c>
      <c r="O58" s="32">
        <v>577.52921955510874</v>
      </c>
      <c r="P58" s="32">
        <v>184.59218298353699</v>
      </c>
      <c r="Q58" s="32"/>
      <c r="R58" s="164" t="s">
        <v>183</v>
      </c>
      <c r="T58" s="32">
        <v>2219.1780821917805</v>
      </c>
      <c r="U58" s="32">
        <v>531.38117380922404</v>
      </c>
      <c r="V58" s="32">
        <v>577.52921955510874</v>
      </c>
      <c r="W58" s="32">
        <v>184.59218298353699</v>
      </c>
    </row>
    <row r="59" spans="2:23" x14ac:dyDescent="0.2">
      <c r="D59" s="133" t="s">
        <v>132</v>
      </c>
      <c r="F59" s="132">
        <f>+F46-E46</f>
        <v>5201.8348623853208</v>
      </c>
      <c r="G59" s="132">
        <f t="shared" si="7"/>
        <v>326.97247706421967</v>
      </c>
      <c r="H59" s="132">
        <f t="shared" si="7"/>
        <v>326.97247706422058</v>
      </c>
      <c r="I59" s="132">
        <f t="shared" si="7"/>
        <v>326.97247706422058</v>
      </c>
      <c r="J59" s="32"/>
      <c r="K59" s="133" t="s">
        <v>132</v>
      </c>
      <c r="M59" s="132">
        <v>5201.8348623853208</v>
      </c>
      <c r="N59" s="135">
        <v>326.97247706421967</v>
      </c>
      <c r="O59" s="132">
        <v>326.97247706422058</v>
      </c>
      <c r="P59" s="132">
        <v>326.97247706422058</v>
      </c>
      <c r="Q59" s="32"/>
      <c r="R59" s="133" t="s">
        <v>132</v>
      </c>
      <c r="T59" s="132">
        <v>5201.8348623853208</v>
      </c>
      <c r="U59" s="132">
        <v>326.97247706421967</v>
      </c>
      <c r="V59" s="132">
        <v>326.97247706422058</v>
      </c>
      <c r="W59" s="132">
        <v>326.97247706422058</v>
      </c>
    </row>
    <row r="60" spans="2:23" x14ac:dyDescent="0.2">
      <c r="D60" s="134" t="s">
        <v>133</v>
      </c>
      <c r="E60" s="3"/>
      <c r="F60" s="28">
        <f>SUM(F55:F59)</f>
        <v>3997.2351388714337</v>
      </c>
      <c r="G60" s="28">
        <f t="shared" ref="G60:I60" si="8">SUM(G55:G59)</f>
        <v>722.08118637677444</v>
      </c>
      <c r="H60" s="28">
        <f t="shared" si="8"/>
        <v>777.45884127183626</v>
      </c>
      <c r="I60" s="28">
        <f t="shared" si="8"/>
        <v>393.75141384944118</v>
      </c>
      <c r="J60" s="32"/>
      <c r="K60" s="134" t="s">
        <v>133</v>
      </c>
      <c r="L60" s="3"/>
      <c r="M60" s="28">
        <v>3997.2351388714337</v>
      </c>
      <c r="N60" s="120">
        <v>722.08118637677444</v>
      </c>
      <c r="O60" s="28">
        <v>777.45884127183626</v>
      </c>
      <c r="P60" s="28">
        <v>393.75141384944118</v>
      </c>
      <c r="Q60" s="32"/>
      <c r="R60" s="134" t="s">
        <v>133</v>
      </c>
      <c r="S60" s="3"/>
      <c r="T60" s="28">
        <v>3997.2351388714337</v>
      </c>
      <c r="U60" s="28">
        <v>722.08118637677444</v>
      </c>
      <c r="V60" s="28">
        <v>777.45884127183626</v>
      </c>
      <c r="W60" s="28">
        <v>393.75141384944118</v>
      </c>
    </row>
    <row r="61" spans="2:23" x14ac:dyDescent="0.2">
      <c r="D61" s="133" t="s">
        <v>166</v>
      </c>
      <c r="F61" s="132">
        <f>-F22</f>
        <v>2000</v>
      </c>
      <c r="G61" s="132">
        <f>-G22</f>
        <v>2000</v>
      </c>
      <c r="H61" s="132">
        <f>-H22</f>
        <v>3500</v>
      </c>
      <c r="I61" s="132">
        <f>-I22</f>
        <v>3500</v>
      </c>
      <c r="J61" s="32"/>
      <c r="K61" s="133" t="s">
        <v>166</v>
      </c>
      <c r="M61" s="132">
        <v>2000</v>
      </c>
      <c r="N61" s="132">
        <v>2000</v>
      </c>
      <c r="O61" s="132">
        <v>3500</v>
      </c>
      <c r="P61" s="132">
        <v>3500</v>
      </c>
      <c r="Q61" s="32"/>
      <c r="R61" s="133" t="s">
        <v>166</v>
      </c>
      <c r="T61" s="132">
        <v>2000</v>
      </c>
      <c r="U61" s="132">
        <v>2000</v>
      </c>
      <c r="V61" s="132">
        <v>3500</v>
      </c>
      <c r="W61" s="132">
        <v>3500</v>
      </c>
    </row>
    <row r="62" spans="2:23" x14ac:dyDescent="0.2">
      <c r="D62" s="3" t="s">
        <v>163</v>
      </c>
      <c r="E62" s="3"/>
      <c r="F62" s="28">
        <f>+F54+F60+F61</f>
        <v>17170.056239788857</v>
      </c>
      <c r="G62" s="28">
        <f>+G54+G60+G61</f>
        <v>15922.387379037311</v>
      </c>
      <c r="H62" s="28">
        <f>+H54+H60+H61</f>
        <v>18582.648692189272</v>
      </c>
      <c r="I62" s="28">
        <f>+I54+I60+I61</f>
        <v>20274.139110523756</v>
      </c>
      <c r="J62" s="32"/>
      <c r="K62" s="3" t="s">
        <v>163</v>
      </c>
      <c r="L62" s="3"/>
      <c r="M62" s="28">
        <v>17170.056239788857</v>
      </c>
      <c r="N62" s="28">
        <v>15922.387379037311</v>
      </c>
      <c r="O62" s="28">
        <v>18582.648692189272</v>
      </c>
      <c r="P62" s="28">
        <v>20274.139110523756</v>
      </c>
      <c r="Q62" s="32"/>
      <c r="R62" s="3" t="s">
        <v>163</v>
      </c>
      <c r="S62" s="3"/>
      <c r="T62" s="28">
        <v>17170.056239788857</v>
      </c>
      <c r="U62" s="28">
        <v>15922.387379037311</v>
      </c>
      <c r="V62" s="28">
        <v>18582.648692189272</v>
      </c>
      <c r="W62" s="28">
        <v>20274.139110523756</v>
      </c>
    </row>
    <row r="63" spans="2:23" ht="10.8" thickBot="1" x14ac:dyDescent="0.25">
      <c r="F63" s="32"/>
      <c r="G63" s="32"/>
      <c r="H63" s="32"/>
      <c r="I63" s="32"/>
      <c r="J63" s="32"/>
      <c r="M63" s="32"/>
      <c r="N63" s="32"/>
      <c r="O63" s="32"/>
      <c r="P63" s="32"/>
      <c r="Q63" s="32"/>
      <c r="T63" s="32"/>
      <c r="U63" s="32"/>
      <c r="V63" s="32"/>
      <c r="W63" s="32"/>
    </row>
    <row r="64" spans="2:23" x14ac:dyDescent="0.2">
      <c r="D64" s="87" t="s">
        <v>134</v>
      </c>
      <c r="F64" s="132">
        <f>E36-F36-F61</f>
        <v>-20000</v>
      </c>
      <c r="G64" s="132">
        <f t="shared" ref="G64:I64" si="9">F36-G36-G61</f>
        <v>0</v>
      </c>
      <c r="H64" s="132">
        <f t="shared" si="9"/>
        <v>-15000</v>
      </c>
      <c r="I64" s="132">
        <f t="shared" si="9"/>
        <v>0</v>
      </c>
      <c r="J64" s="32"/>
      <c r="K64" s="87" t="s">
        <v>134</v>
      </c>
      <c r="M64" s="132">
        <v>-20000</v>
      </c>
      <c r="N64" s="132">
        <v>0</v>
      </c>
      <c r="O64" s="139">
        <v>-15000</v>
      </c>
      <c r="P64" s="132">
        <v>0</v>
      </c>
      <c r="Q64" s="32"/>
      <c r="R64" s="87" t="s">
        <v>134</v>
      </c>
      <c r="T64" s="132">
        <v>-20000</v>
      </c>
      <c r="U64" s="132">
        <v>0</v>
      </c>
      <c r="V64" s="132">
        <v>-15000</v>
      </c>
      <c r="W64" s="132">
        <v>0</v>
      </c>
    </row>
    <row r="65" spans="4:23" ht="10.8" thickBot="1" x14ac:dyDescent="0.25">
      <c r="D65" s="3" t="s">
        <v>164</v>
      </c>
      <c r="F65" s="28">
        <f>+F64</f>
        <v>-20000</v>
      </c>
      <c r="G65" s="28">
        <f t="shared" ref="G65:I65" si="10">+G64</f>
        <v>0</v>
      </c>
      <c r="H65" s="28">
        <f t="shared" si="10"/>
        <v>-15000</v>
      </c>
      <c r="I65" s="28">
        <f t="shared" si="10"/>
        <v>0</v>
      </c>
      <c r="J65" s="32"/>
      <c r="K65" s="3" t="s">
        <v>164</v>
      </c>
      <c r="M65" s="28">
        <v>-20000</v>
      </c>
      <c r="N65" s="28">
        <v>0</v>
      </c>
      <c r="O65" s="140">
        <v>-15000</v>
      </c>
      <c r="P65" s="28">
        <v>0</v>
      </c>
      <c r="Q65" s="32"/>
      <c r="R65" s="3" t="s">
        <v>164</v>
      </c>
      <c r="T65" s="28">
        <v>-20000</v>
      </c>
      <c r="U65" s="28">
        <v>0</v>
      </c>
      <c r="V65" s="28">
        <v>-15000</v>
      </c>
      <c r="W65" s="28">
        <v>0</v>
      </c>
    </row>
    <row r="66" spans="4:23" ht="10.8" thickBot="1" x14ac:dyDescent="0.25">
      <c r="F66" s="32"/>
      <c r="G66" s="32"/>
      <c r="H66" s="32"/>
      <c r="I66" s="32"/>
      <c r="J66" s="32"/>
      <c r="M66" s="32"/>
      <c r="N66" s="32"/>
      <c r="O66" s="32"/>
      <c r="P66" s="32"/>
      <c r="Q66" s="32"/>
      <c r="T66" s="32"/>
      <c r="U66" s="32"/>
      <c r="V66" s="32"/>
      <c r="W66" s="32"/>
    </row>
    <row r="67" spans="4:23" ht="10.8" thickBot="1" x14ac:dyDescent="0.25">
      <c r="D67" s="87" t="s">
        <v>170</v>
      </c>
      <c r="F67" s="32">
        <f>+F43-E43-F27</f>
        <v>0</v>
      </c>
      <c r="G67" s="32">
        <f>+G43-F43-G27</f>
        <v>0</v>
      </c>
      <c r="H67" s="32">
        <f>+H43-G43-H27</f>
        <v>0</v>
      </c>
      <c r="I67" s="32">
        <f>+I43-H43-I27</f>
        <v>0</v>
      </c>
      <c r="J67" s="32"/>
      <c r="K67" s="87" t="s">
        <v>170</v>
      </c>
      <c r="M67" s="32">
        <v>0</v>
      </c>
      <c r="N67" s="32">
        <v>0</v>
      </c>
      <c r="O67" s="32">
        <v>0</v>
      </c>
      <c r="P67" s="32">
        <v>0</v>
      </c>
      <c r="Q67" s="32"/>
      <c r="R67" s="87" t="s">
        <v>170</v>
      </c>
      <c r="T67" s="32">
        <v>0</v>
      </c>
      <c r="U67" s="32">
        <v>0</v>
      </c>
      <c r="V67" s="142">
        <v>0</v>
      </c>
      <c r="W67" s="32">
        <v>0</v>
      </c>
    </row>
    <row r="68" spans="4:23" ht="10.8" thickBot="1" x14ac:dyDescent="0.25">
      <c r="D68" s="87" t="s">
        <v>135</v>
      </c>
      <c r="F68" s="32">
        <f>+F44-E44</f>
        <v>20000</v>
      </c>
      <c r="G68" s="32">
        <f>+G44-F44</f>
        <v>-5000</v>
      </c>
      <c r="H68" s="32">
        <f>+H44-G44</f>
        <v>-5000</v>
      </c>
      <c r="I68" s="32">
        <f>+I44-H44</f>
        <v>-5000</v>
      </c>
      <c r="J68" s="32"/>
      <c r="K68" s="87" t="s">
        <v>135</v>
      </c>
      <c r="M68" s="32">
        <v>20000</v>
      </c>
      <c r="N68" s="32">
        <v>-5000</v>
      </c>
      <c r="O68" s="32">
        <v>-5000</v>
      </c>
      <c r="P68" s="145">
        <v>-5000</v>
      </c>
      <c r="Q68" s="32"/>
      <c r="R68" s="87" t="s">
        <v>135</v>
      </c>
      <c r="T68" s="32">
        <v>20000</v>
      </c>
      <c r="U68" s="32">
        <v>-5000</v>
      </c>
      <c r="V68" s="32">
        <v>-5000</v>
      </c>
      <c r="W68" s="32">
        <v>-5000</v>
      </c>
    </row>
    <row r="69" spans="4:23" x14ac:dyDescent="0.2">
      <c r="D69" s="87" t="s">
        <v>136</v>
      </c>
      <c r="F69" s="32">
        <f>F24</f>
        <v>-1750.0000000000002</v>
      </c>
      <c r="G69" s="32">
        <f t="shared" ref="G69:I69" si="11">G24</f>
        <v>-1400.0000000000002</v>
      </c>
      <c r="H69" s="32">
        <f t="shared" si="11"/>
        <v>-1050</v>
      </c>
      <c r="I69" s="32">
        <f t="shared" si="11"/>
        <v>-700.00000000000011</v>
      </c>
      <c r="J69" s="32"/>
      <c r="K69" s="87" t="s">
        <v>136</v>
      </c>
      <c r="M69" s="32">
        <v>-1750.0000000000002</v>
      </c>
      <c r="N69" s="32">
        <v>-1400.0000000000002</v>
      </c>
      <c r="O69" s="32">
        <v>-1050</v>
      </c>
      <c r="P69" s="32">
        <v>-700.00000000000011</v>
      </c>
      <c r="Q69" s="32"/>
      <c r="R69" s="87" t="s">
        <v>136</v>
      </c>
      <c r="T69" s="32">
        <v>-1750.0000000000002</v>
      </c>
      <c r="U69" s="32">
        <v>-1400.0000000000002</v>
      </c>
      <c r="V69" s="32">
        <v>-1050</v>
      </c>
      <c r="W69" s="32">
        <v>-700.00000000000011</v>
      </c>
    </row>
    <row r="70" spans="4:23" x14ac:dyDescent="0.2">
      <c r="D70" s="87" t="s">
        <v>128</v>
      </c>
      <c r="F70" s="132">
        <f>+'4. Other expenses and CIT'!F38</f>
        <v>262.5</v>
      </c>
      <c r="G70" s="132">
        <f>+'4. Other expenses and CIT'!G38</f>
        <v>266</v>
      </c>
      <c r="H70" s="132">
        <f>+'4. Other expenses and CIT'!H38</f>
        <v>199.5</v>
      </c>
      <c r="I70" s="132">
        <f>+'4. Other expenses and CIT'!I38</f>
        <v>133</v>
      </c>
      <c r="J70" s="32"/>
      <c r="K70" s="87" t="s">
        <v>128</v>
      </c>
      <c r="M70" s="132">
        <v>262.5</v>
      </c>
      <c r="N70" s="132">
        <v>266</v>
      </c>
      <c r="O70" s="132">
        <v>199.5</v>
      </c>
      <c r="P70" s="132">
        <v>133</v>
      </c>
      <c r="Q70" s="32"/>
      <c r="R70" s="87" t="s">
        <v>128</v>
      </c>
      <c r="T70" s="135">
        <v>262.5</v>
      </c>
      <c r="U70" s="132">
        <v>266</v>
      </c>
      <c r="V70" s="132">
        <v>199.5</v>
      </c>
      <c r="W70" s="132">
        <v>133</v>
      </c>
    </row>
    <row r="71" spans="4:23" x14ac:dyDescent="0.2">
      <c r="D71" s="3" t="s">
        <v>165</v>
      </c>
      <c r="F71" s="28">
        <f>SUM(F67:F70)</f>
        <v>18512.5</v>
      </c>
      <c r="G71" s="28">
        <f t="shared" ref="G71:I71" si="12">SUM(G67:G70)</f>
        <v>-6134</v>
      </c>
      <c r="H71" s="28">
        <f t="shared" si="12"/>
        <v>-5850.5</v>
      </c>
      <c r="I71" s="28">
        <f t="shared" si="12"/>
        <v>-5567</v>
      </c>
      <c r="J71" s="32"/>
      <c r="K71" s="3" t="s">
        <v>165</v>
      </c>
      <c r="M71" s="28">
        <v>18512.5</v>
      </c>
      <c r="N71" s="28">
        <v>-6134</v>
      </c>
      <c r="O71" s="28">
        <v>-5850.5</v>
      </c>
      <c r="P71" s="28">
        <v>-5567</v>
      </c>
      <c r="Q71" s="32"/>
      <c r="R71" s="3" t="s">
        <v>165</v>
      </c>
      <c r="T71" s="28">
        <v>18512.5</v>
      </c>
      <c r="U71" s="28">
        <v>-6134</v>
      </c>
      <c r="V71" s="28">
        <v>-5850.5</v>
      </c>
      <c r="W71" s="28">
        <v>-5567</v>
      </c>
    </row>
    <row r="72" spans="4:23" ht="10.8" thickBot="1" x14ac:dyDescent="0.25">
      <c r="F72" s="32"/>
      <c r="G72" s="32"/>
      <c r="H72" s="32"/>
      <c r="I72" s="32"/>
      <c r="J72" s="32"/>
      <c r="M72" s="32"/>
      <c r="N72" s="32"/>
      <c r="O72" s="32"/>
      <c r="P72" s="32"/>
      <c r="Q72" s="32"/>
      <c r="T72" s="32"/>
      <c r="U72" s="32"/>
      <c r="V72" s="32"/>
      <c r="W72" s="32"/>
    </row>
    <row r="73" spans="4:23" ht="12.6" thickBot="1" x14ac:dyDescent="0.4">
      <c r="D73" s="3" t="s">
        <v>137</v>
      </c>
      <c r="E73" s="3"/>
      <c r="F73" s="96">
        <f>+F62+F65+F71</f>
        <v>15682.556239788857</v>
      </c>
      <c r="G73" s="96">
        <f>+G62+G65+G71</f>
        <v>9788.3873790373109</v>
      </c>
      <c r="H73" s="96">
        <f>+H62+H65+H71</f>
        <v>-2267.851307810728</v>
      </c>
      <c r="I73" s="96">
        <f>+I62+I65+I71</f>
        <v>14707.139110523756</v>
      </c>
      <c r="J73" s="32"/>
      <c r="K73" s="3" t="s">
        <v>137</v>
      </c>
      <c r="L73" s="3"/>
      <c r="M73" s="96">
        <v>15682.556239788857</v>
      </c>
      <c r="N73" s="96">
        <v>9788.3873790373109</v>
      </c>
      <c r="O73" s="96">
        <v>-2267.851307810728</v>
      </c>
      <c r="P73" s="96">
        <v>14707.139110523756</v>
      </c>
      <c r="Q73" s="32"/>
      <c r="R73" s="3" t="s">
        <v>137</v>
      </c>
      <c r="S73" s="3"/>
      <c r="T73" s="96">
        <v>15682.556239788857</v>
      </c>
      <c r="U73" s="96">
        <v>9788.3873790373109</v>
      </c>
      <c r="V73" s="96">
        <v>-2267.851307810728</v>
      </c>
      <c r="W73" s="147">
        <v>14707.139110523756</v>
      </c>
    </row>
    <row r="74" spans="4:23" x14ac:dyDescent="0.2">
      <c r="F74" s="32"/>
      <c r="G74" s="32"/>
      <c r="H74" s="32"/>
      <c r="I74" s="32"/>
      <c r="J74" s="32"/>
      <c r="M74" s="32"/>
      <c r="N74" s="32"/>
      <c r="O74" s="32"/>
      <c r="P74" s="32"/>
      <c r="Q74" s="32"/>
      <c r="T74" s="32"/>
      <c r="U74" s="32"/>
      <c r="V74" s="32"/>
      <c r="W74" s="32"/>
    </row>
    <row r="75" spans="4:23" x14ac:dyDescent="0.2">
      <c r="D75" s="97" t="s">
        <v>144</v>
      </c>
      <c r="E75" s="97"/>
      <c r="F75" s="32">
        <f>F41-F47</f>
        <v>0</v>
      </c>
      <c r="G75" s="32">
        <f t="shared" ref="G75:I75" si="13">G41-G47</f>
        <v>0</v>
      </c>
      <c r="H75" s="32">
        <f t="shared" si="13"/>
        <v>0</v>
      </c>
      <c r="I75" s="32">
        <f t="shared" si="13"/>
        <v>0</v>
      </c>
      <c r="J75" s="32"/>
      <c r="K75" s="97"/>
      <c r="L75" s="97"/>
      <c r="M75" s="32"/>
      <c r="N75" s="32"/>
      <c r="O75" s="32"/>
      <c r="P75" s="32"/>
      <c r="Q75" s="32"/>
      <c r="R75" s="97"/>
      <c r="S75" s="97"/>
      <c r="T75" s="32"/>
      <c r="U75" s="32"/>
      <c r="V75" s="32"/>
      <c r="W75" s="32"/>
    </row>
    <row r="76" spans="4:23" x14ac:dyDescent="0.2">
      <c r="F76" s="32"/>
      <c r="G76" s="32"/>
      <c r="H76" s="32"/>
      <c r="I76" s="32"/>
      <c r="J76" s="32"/>
      <c r="M76" s="32"/>
      <c r="N76" s="32"/>
      <c r="O76" s="32"/>
      <c r="P76" s="32"/>
      <c r="Q76" s="32"/>
      <c r="T76" s="32"/>
      <c r="U76" s="32"/>
      <c r="V76" s="32"/>
      <c r="W76" s="32"/>
    </row>
    <row r="77" spans="4:23" x14ac:dyDescent="0.2">
      <c r="F77" s="32"/>
      <c r="G77" s="32"/>
      <c r="H77" s="32"/>
      <c r="I77" s="32"/>
      <c r="J77" s="32"/>
      <c r="M77" s="32"/>
      <c r="N77" s="32"/>
      <c r="O77" s="32"/>
      <c r="P77" s="32"/>
      <c r="Q77" s="32"/>
      <c r="T77" s="32"/>
      <c r="U77" s="32"/>
      <c r="V77" s="32"/>
      <c r="W77" s="32"/>
    </row>
    <row r="78" spans="4:23" x14ac:dyDescent="0.2">
      <c r="F78" s="32"/>
      <c r="G78" s="32"/>
      <c r="H78" s="32"/>
      <c r="I78" s="32"/>
      <c r="J78" s="32"/>
      <c r="M78" s="32"/>
      <c r="N78" s="32"/>
      <c r="O78" s="32"/>
      <c r="P78" s="32"/>
      <c r="Q78" s="32"/>
      <c r="T78" s="32"/>
      <c r="U78" s="32"/>
      <c r="V78" s="32"/>
      <c r="W78" s="32"/>
    </row>
    <row r="79" spans="4:23" x14ac:dyDescent="0.2">
      <c r="F79" s="32"/>
      <c r="G79" s="32"/>
      <c r="H79" s="32"/>
      <c r="I79" s="32"/>
      <c r="J79" s="32"/>
      <c r="M79" s="32"/>
      <c r="N79" s="32"/>
      <c r="O79" s="32"/>
      <c r="P79" s="32"/>
      <c r="Q79" s="32"/>
      <c r="T79" s="32"/>
      <c r="U79" s="32"/>
      <c r="V79" s="32"/>
      <c r="W79" s="32"/>
    </row>
    <row r="80" spans="4:23" x14ac:dyDescent="0.2">
      <c r="F80" s="32"/>
      <c r="G80" s="32"/>
      <c r="H80" s="32"/>
      <c r="I80" s="32"/>
      <c r="J80" s="32"/>
      <c r="M80" s="32"/>
      <c r="N80" s="32"/>
      <c r="O80" s="32"/>
      <c r="P80" s="32"/>
      <c r="Q80" s="32"/>
      <c r="T80" s="32"/>
      <c r="U80" s="32"/>
      <c r="V80" s="32"/>
      <c r="W80" s="32"/>
    </row>
    <row r="83" spans="2:23" x14ac:dyDescent="0.2">
      <c r="B83" s="8" t="s">
        <v>0</v>
      </c>
      <c r="C83" s="8"/>
      <c r="D83" s="7"/>
      <c r="E83" s="7"/>
      <c r="F83" s="7"/>
      <c r="G83" s="7"/>
      <c r="H83" s="7"/>
      <c r="I83" s="7"/>
      <c r="J83" s="7"/>
      <c r="K83" s="7"/>
      <c r="L83" s="7"/>
      <c r="M83" s="7"/>
      <c r="N83" s="7"/>
      <c r="O83" s="7"/>
      <c r="P83" s="7"/>
      <c r="Q83" s="7"/>
      <c r="R83" s="7"/>
      <c r="S83" s="7"/>
      <c r="T83" s="7"/>
      <c r="U83" s="7"/>
      <c r="V83" s="7"/>
      <c r="W83" s="7"/>
    </row>
  </sheetData>
  <phoneticPr fontId="13" type="noConversion"/>
  <pageMargins left="0.7" right="0.7" top="0.75" bottom="0.75" header="0.3" footer="0.3"/>
  <pageSetup orientation="portrait" r:id="rId1"/>
  <ignoredErrors>
    <ignoredError sqref="F24:G24 F26 H24:I24 G26:I26" 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CFF29-72F9-431A-B56D-B96DD937D2CF}">
  <sheetPr>
    <tabColor theme="1"/>
  </sheetPr>
  <dimension ref="A8:W18"/>
  <sheetViews>
    <sheetView showGridLines="0" workbookViewId="0"/>
  </sheetViews>
  <sheetFormatPr defaultColWidth="0" defaultRowHeight="10.199999999999999" x14ac:dyDescent="0.2"/>
  <cols>
    <col min="1" max="1" width="2.6640625" style="2" customWidth="1"/>
    <col min="2" max="2" width="8.6640625" style="2" customWidth="1"/>
    <col min="3" max="3" width="1.6640625" style="2" customWidth="1"/>
    <col min="4" max="4" width="27.6640625" style="2" customWidth="1"/>
    <col min="5" max="23" width="12.6640625" style="2" customWidth="1"/>
    <col min="24" max="16384" width="9.109375" style="2" hidden="1"/>
  </cols>
  <sheetData>
    <row r="8" spans="2:2" x14ac:dyDescent="0.2">
      <c r="B8" s="1"/>
    </row>
    <row r="17" spans="2:11" ht="13.2" x14ac:dyDescent="0.25">
      <c r="B17" s="4" t="s">
        <v>28</v>
      </c>
      <c r="C17" s="5"/>
      <c r="D17" s="5"/>
      <c r="E17" s="5"/>
      <c r="F17" s="5"/>
      <c r="G17" s="5"/>
      <c r="H17" s="5"/>
      <c r="I17" s="5"/>
      <c r="J17" s="5"/>
      <c r="K17" s="6">
        <f ca="1">TODAY()</f>
        <v>46120</v>
      </c>
    </row>
    <row r="18" spans="2:11" x14ac:dyDescent="0.2">
      <c r="B18" s="2" t="str" cm="1">
        <f t="array" aca="1" ref="B18" ca="1">RIGHT(CELL("filename",D17),LEN(CELL("filename",D17))-FIND("]",CELL("filename",D17)))</f>
        <v>Other examples</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EA4D8-13F4-4212-B348-C64911BD58E8}">
  <dimension ref="B2:I34"/>
  <sheetViews>
    <sheetView showGridLines="0" zoomScale="130" zoomScaleNormal="130" workbookViewId="0"/>
  </sheetViews>
  <sheetFormatPr defaultColWidth="9.109375" defaultRowHeight="10.199999999999999" x14ac:dyDescent="0.2"/>
  <cols>
    <col min="1" max="1" width="2.6640625" style="2" customWidth="1"/>
    <col min="2" max="2" width="8.6640625" style="2" customWidth="1"/>
    <col min="3" max="3" width="1.6640625" style="2" customWidth="1"/>
    <col min="4" max="4" width="24.77734375" style="2" customWidth="1"/>
    <col min="5" max="9" width="9.77734375" style="2" customWidth="1"/>
    <col min="10" max="22" width="12.6640625" style="2" customWidth="1"/>
    <col min="23" max="16384" width="9.109375" style="2"/>
  </cols>
  <sheetData>
    <row r="2" spans="2:9" x14ac:dyDescent="0.2">
      <c r="B2" s="9" t="str">
        <f>Frontpage!B17</f>
        <v>Case Templates - Illustrative examples</v>
      </c>
      <c r="C2" s="9"/>
      <c r="D2" s="5"/>
      <c r="E2" s="5"/>
      <c r="F2" s="5"/>
      <c r="G2" s="5"/>
      <c r="H2" s="5"/>
      <c r="I2" s="5"/>
    </row>
    <row r="4" spans="2:9" x14ac:dyDescent="0.2">
      <c r="B4" s="8" t="s">
        <v>29</v>
      </c>
      <c r="C4" s="8"/>
      <c r="D4" s="7"/>
      <c r="E4" s="7"/>
      <c r="F4" s="7"/>
      <c r="G4" s="7"/>
      <c r="H4" s="7"/>
      <c r="I4" s="7"/>
    </row>
    <row r="6" spans="2:9" x14ac:dyDescent="0.2">
      <c r="B6" s="11">
        <v>1</v>
      </c>
      <c r="C6" s="12" t="s">
        <v>173</v>
      </c>
      <c r="D6" s="12"/>
      <c r="E6" s="11"/>
      <c r="F6" s="10"/>
      <c r="G6" s="10"/>
      <c r="H6" s="10"/>
      <c r="I6" s="10"/>
    </row>
    <row r="8" spans="2:9" x14ac:dyDescent="0.2">
      <c r="B8" s="11">
        <v>1.1000000000000001</v>
      </c>
      <c r="D8" s="2" t="s">
        <v>158</v>
      </c>
      <c r="E8" s="100">
        <v>0.1</v>
      </c>
    </row>
    <row r="9" spans="2:9" x14ac:dyDescent="0.2">
      <c r="D9" s="2" t="s">
        <v>159</v>
      </c>
      <c r="F9" s="2">
        <v>1</v>
      </c>
      <c r="G9" s="2">
        <v>2</v>
      </c>
      <c r="H9" s="2">
        <v>3</v>
      </c>
      <c r="I9" s="2">
        <v>4</v>
      </c>
    </row>
    <row r="11" spans="2:9" s="57" customFormat="1" ht="15.75" customHeight="1" x14ac:dyDescent="0.3">
      <c r="D11" s="59" t="s">
        <v>151</v>
      </c>
      <c r="E11" s="59"/>
    </row>
    <row r="12" spans="2:9" x14ac:dyDescent="0.2">
      <c r="D12" s="20"/>
      <c r="E12" s="20"/>
      <c r="F12" s="21" t="s">
        <v>146</v>
      </c>
      <c r="G12" s="21" t="s">
        <v>147</v>
      </c>
      <c r="H12" s="21" t="s">
        <v>148</v>
      </c>
      <c r="I12" s="21" t="s">
        <v>149</v>
      </c>
    </row>
    <row r="13" spans="2:9" ht="2.1" customHeight="1" x14ac:dyDescent="0.2"/>
    <row r="14" spans="2:9" x14ac:dyDescent="0.2">
      <c r="D14" s="2" t="s">
        <v>141</v>
      </c>
      <c r="F14" s="102">
        <v>200</v>
      </c>
      <c r="G14" s="102">
        <v>200</v>
      </c>
      <c r="H14" s="102">
        <v>200</v>
      </c>
      <c r="I14" s="102">
        <v>200</v>
      </c>
    </row>
    <row r="15" spans="2:9" ht="12" x14ac:dyDescent="0.35">
      <c r="D15" s="2" t="s">
        <v>142</v>
      </c>
      <c r="F15" s="72">
        <f>1/(1+$E$8)^F9</f>
        <v>0.90909090909090906</v>
      </c>
      <c r="G15" s="72">
        <f>1/(1+$E$8)^G9</f>
        <v>0.82644628099173545</v>
      </c>
      <c r="H15" s="72">
        <f>1/(1+$E$8)^H9</f>
        <v>0.75131480090157754</v>
      </c>
      <c r="I15" s="72">
        <f>1/(1+$E$8)^I9</f>
        <v>0.68301345536507052</v>
      </c>
    </row>
    <row r="16" spans="2:9" x14ac:dyDescent="0.2">
      <c r="D16" s="2" t="s">
        <v>143</v>
      </c>
      <c r="F16" s="49">
        <f>+F14*F15</f>
        <v>181.81818181818181</v>
      </c>
      <c r="G16" s="49">
        <f t="shared" ref="G16:I16" si="0">+G14*G15</f>
        <v>165.28925619834709</v>
      </c>
      <c r="H16" s="49">
        <f t="shared" si="0"/>
        <v>150.2629601803155</v>
      </c>
      <c r="I16" s="49">
        <f t="shared" si="0"/>
        <v>136.60269107301411</v>
      </c>
    </row>
    <row r="17" spans="4:9" x14ac:dyDescent="0.2">
      <c r="F17" s="41"/>
      <c r="G17" s="41"/>
      <c r="H17" s="41"/>
      <c r="I17" s="41"/>
    </row>
    <row r="18" spans="4:9" ht="12" x14ac:dyDescent="0.35">
      <c r="D18" s="3" t="s">
        <v>150</v>
      </c>
      <c r="E18" s="3"/>
      <c r="F18" s="73">
        <f>SUM(F16:I16)</f>
        <v>633.97308926985852</v>
      </c>
      <c r="G18" s="41"/>
      <c r="H18" s="41"/>
      <c r="I18" s="41"/>
    </row>
    <row r="34" spans="2:9" x14ac:dyDescent="0.2">
      <c r="B34" s="8" t="s">
        <v>42</v>
      </c>
      <c r="C34" s="8"/>
      <c r="D34" s="7"/>
      <c r="E34" s="7"/>
      <c r="F34" s="7"/>
      <c r="G34" s="7"/>
      <c r="H34" s="7"/>
      <c r="I34" s="7"/>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0E903-9E5A-40C6-A1CD-D9B93C3A2768}">
  <dimension ref="B2:J34"/>
  <sheetViews>
    <sheetView showGridLines="0" zoomScaleNormal="100" workbookViewId="0"/>
  </sheetViews>
  <sheetFormatPr defaultColWidth="9.109375" defaultRowHeight="10.199999999999999" x14ac:dyDescent="0.2"/>
  <cols>
    <col min="1" max="1" width="2.6640625" style="2" customWidth="1"/>
    <col min="2" max="2" width="8.6640625" style="2" customWidth="1"/>
    <col min="3" max="3" width="1.6640625" style="2" customWidth="1"/>
    <col min="4" max="4" width="24.77734375" style="2" customWidth="1"/>
    <col min="5" max="5" width="10.6640625" style="2" customWidth="1"/>
    <col min="6" max="23" width="12.6640625" style="2" customWidth="1"/>
    <col min="24" max="16384" width="9.109375" style="2"/>
  </cols>
  <sheetData>
    <row r="2" spans="2:10" x14ac:dyDescent="0.2">
      <c r="B2" s="9" t="str">
        <f>Frontpage!B17</f>
        <v>Case Templates - Illustrative examples</v>
      </c>
      <c r="C2" s="9"/>
      <c r="D2" s="5"/>
      <c r="E2" s="5"/>
      <c r="F2" s="5"/>
      <c r="G2" s="5"/>
      <c r="H2" s="5"/>
      <c r="I2" s="5"/>
    </row>
    <row r="4" spans="2:10" x14ac:dyDescent="0.2">
      <c r="B4" s="8" t="s">
        <v>29</v>
      </c>
      <c r="C4" s="8"/>
      <c r="D4" s="7"/>
      <c r="E4" s="7"/>
      <c r="F4" s="7"/>
      <c r="G4" s="7"/>
      <c r="H4" s="7"/>
      <c r="I4" s="7"/>
    </row>
    <row r="6" spans="2:10" x14ac:dyDescent="0.2">
      <c r="B6" s="11">
        <v>1</v>
      </c>
      <c r="C6" s="12" t="s">
        <v>174</v>
      </c>
      <c r="D6" s="12"/>
      <c r="E6" s="11"/>
      <c r="F6" s="10"/>
      <c r="G6" s="10"/>
      <c r="H6" s="10"/>
      <c r="I6" s="10"/>
    </row>
    <row r="8" spans="2:10" ht="15.75" customHeight="1" x14ac:dyDescent="0.25">
      <c r="B8" s="56">
        <v>1.1000000000000001</v>
      </c>
      <c r="D8" s="59" t="s">
        <v>43</v>
      </c>
      <c r="E8" s="59"/>
      <c r="F8" s="29"/>
      <c r="G8" s="29"/>
      <c r="H8" s="29"/>
      <c r="I8" s="29"/>
    </row>
    <row r="9" spans="2:10" ht="11.25" customHeight="1" x14ac:dyDescent="0.25">
      <c r="D9" s="30"/>
      <c r="E9" s="30"/>
      <c r="F9" s="31" t="s">
        <v>146</v>
      </c>
      <c r="G9" s="31" t="s">
        <v>147</v>
      </c>
      <c r="H9" s="31" t="s">
        <v>148</v>
      </c>
      <c r="I9" s="31" t="s">
        <v>149</v>
      </c>
    </row>
    <row r="10" spans="2:10" ht="2.1" customHeight="1" x14ac:dyDescent="0.2">
      <c r="D10" s="32"/>
      <c r="E10" s="32"/>
      <c r="F10" s="32"/>
      <c r="G10" s="33"/>
      <c r="H10" s="33"/>
      <c r="I10" s="33"/>
    </row>
    <row r="11" spans="2:10" ht="11.25" customHeight="1" x14ac:dyDescent="0.2">
      <c r="D11" s="68" t="s">
        <v>44</v>
      </c>
      <c r="E11" s="68"/>
      <c r="F11" s="102">
        <v>10000</v>
      </c>
      <c r="G11" s="60">
        <f>F11</f>
        <v>10000</v>
      </c>
      <c r="H11" s="60">
        <f>G11-H15*G11</f>
        <v>8000</v>
      </c>
      <c r="I11" s="60">
        <f>H11-I15*H11</f>
        <v>6400</v>
      </c>
    </row>
    <row r="12" spans="2:10" ht="11.25" customHeight="1" x14ac:dyDescent="0.2">
      <c r="D12" s="68" t="s">
        <v>45</v>
      </c>
      <c r="E12" s="68"/>
      <c r="F12" s="60"/>
      <c r="G12" s="102">
        <v>15000</v>
      </c>
      <c r="H12" s="60">
        <f>G12</f>
        <v>15000</v>
      </c>
      <c r="I12" s="60">
        <f>H12-I15*H12</f>
        <v>12000</v>
      </c>
    </row>
    <row r="13" spans="2:10" ht="11.25" customHeight="1" x14ac:dyDescent="0.2">
      <c r="D13" s="68" t="s">
        <v>46</v>
      </c>
      <c r="E13" s="68"/>
      <c r="F13" s="60"/>
      <c r="G13" s="60"/>
      <c r="H13" s="102">
        <v>20000</v>
      </c>
      <c r="I13" s="60">
        <f>H13</f>
        <v>20000</v>
      </c>
      <c r="J13" s="13"/>
    </row>
    <row r="14" spans="2:10" ht="11.25" customHeight="1" x14ac:dyDescent="0.2">
      <c r="D14" s="68" t="s">
        <v>47</v>
      </c>
      <c r="E14" s="68"/>
      <c r="F14" s="60"/>
      <c r="G14" s="60"/>
      <c r="H14" s="60"/>
      <c r="I14" s="102">
        <v>25000</v>
      </c>
    </row>
    <row r="15" spans="2:10" ht="11.25" customHeight="1" x14ac:dyDescent="0.2">
      <c r="D15" s="68" t="s">
        <v>48</v>
      </c>
      <c r="E15" s="68"/>
      <c r="F15" s="60"/>
      <c r="G15" s="60"/>
      <c r="H15" s="100">
        <v>0.2</v>
      </c>
      <c r="I15" s="100">
        <v>0.2</v>
      </c>
    </row>
    <row r="16" spans="2:10" ht="11.25" customHeight="1" x14ac:dyDescent="0.2">
      <c r="D16" s="68" t="s">
        <v>51</v>
      </c>
      <c r="E16" s="68"/>
      <c r="F16" s="102">
        <v>1200</v>
      </c>
      <c r="G16" s="102">
        <v>1200</v>
      </c>
      <c r="H16" s="102">
        <v>1200</v>
      </c>
      <c r="I16" s="102">
        <v>1200</v>
      </c>
    </row>
    <row r="17" spans="2:10" ht="11.25" customHeight="1" x14ac:dyDescent="0.2">
      <c r="D17" s="68" t="s">
        <v>54</v>
      </c>
      <c r="E17" s="68"/>
      <c r="F17" s="103">
        <f>+F16/2</f>
        <v>600</v>
      </c>
      <c r="G17" s="103">
        <f t="shared" ref="G17:I17" si="0">+G16/2</f>
        <v>600</v>
      </c>
      <c r="H17" s="103">
        <f t="shared" si="0"/>
        <v>600</v>
      </c>
      <c r="I17" s="103">
        <f t="shared" si="0"/>
        <v>600</v>
      </c>
      <c r="J17" s="13"/>
    </row>
    <row r="18" spans="2:10" ht="11.25" customHeight="1" x14ac:dyDescent="0.2">
      <c r="D18" s="28" t="s">
        <v>55</v>
      </c>
      <c r="E18" s="28"/>
      <c r="F18" s="69">
        <f>+F17*F26/1000000</f>
        <v>3</v>
      </c>
      <c r="G18" s="69">
        <f>+G26*G17/1000000</f>
        <v>10.5</v>
      </c>
      <c r="H18" s="69">
        <f>+H26*H17/1000000</f>
        <v>19.8</v>
      </c>
      <c r="I18" s="69">
        <f>+I26*I17/1000000</f>
        <v>30.54</v>
      </c>
    </row>
    <row r="19" spans="2:10" ht="11.25" customHeight="1" x14ac:dyDescent="0.2">
      <c r="D19" s="32"/>
      <c r="E19" s="32"/>
      <c r="F19" s="60"/>
      <c r="G19" s="60"/>
      <c r="H19" s="60"/>
      <c r="I19" s="60"/>
    </row>
    <row r="20" spans="2:10" ht="11.25" customHeight="1" x14ac:dyDescent="0.2">
      <c r="D20" s="68" t="s">
        <v>52</v>
      </c>
      <c r="E20" s="68"/>
      <c r="F20" s="104">
        <v>500</v>
      </c>
      <c r="G20" s="104">
        <v>500</v>
      </c>
      <c r="H20" s="104">
        <v>500</v>
      </c>
      <c r="I20" s="104">
        <v>500</v>
      </c>
    </row>
    <row r="21" spans="2:10" ht="11.25" customHeight="1" x14ac:dyDescent="0.2">
      <c r="D21" s="28" t="s">
        <v>56</v>
      </c>
      <c r="E21" s="28"/>
      <c r="F21" s="69">
        <f>+F20*F11/1000000</f>
        <v>5</v>
      </c>
      <c r="G21" s="69">
        <f>+G20*G12/1000000</f>
        <v>7.5</v>
      </c>
      <c r="H21" s="69">
        <f>+H20*H13/1000000</f>
        <v>10</v>
      </c>
      <c r="I21" s="69">
        <f>+I20*I14/1000000</f>
        <v>12.5</v>
      </c>
    </row>
    <row r="22" spans="2:10" ht="11.25" customHeight="1" x14ac:dyDescent="0.2">
      <c r="D22" s="32"/>
      <c r="E22" s="32"/>
      <c r="F22" s="105">
        <v>0</v>
      </c>
      <c r="G22" s="105">
        <v>0</v>
      </c>
      <c r="H22" s="105">
        <v>0</v>
      </c>
      <c r="I22" s="105">
        <v>0</v>
      </c>
    </row>
    <row r="23" spans="2:10" ht="11.25" customHeight="1" x14ac:dyDescent="0.2">
      <c r="D23" s="28" t="s">
        <v>53</v>
      </c>
      <c r="E23" s="28"/>
      <c r="F23" s="70">
        <f>+F21+F18</f>
        <v>8</v>
      </c>
      <c r="G23" s="70">
        <f>+G21+G18</f>
        <v>18</v>
      </c>
      <c r="H23" s="70">
        <f>+H21+H18</f>
        <v>29.8</v>
      </c>
      <c r="I23" s="70">
        <f>+I21+I18</f>
        <v>43.04</v>
      </c>
    </row>
    <row r="24" spans="2:10" ht="11.25" customHeight="1" x14ac:dyDescent="0.2">
      <c r="D24" s="32"/>
      <c r="E24" s="32"/>
      <c r="F24" s="60"/>
      <c r="G24" s="60"/>
      <c r="H24" s="60"/>
      <c r="I24" s="60"/>
    </row>
    <row r="25" spans="2:10" ht="11.25" customHeight="1" x14ac:dyDescent="0.2">
      <c r="D25" s="35" t="s">
        <v>49</v>
      </c>
      <c r="E25" s="36"/>
      <c r="F25" s="64">
        <f>+F11</f>
        <v>10000</v>
      </c>
      <c r="G25" s="64">
        <f>+G11+G12</f>
        <v>25000</v>
      </c>
      <c r="H25" s="64">
        <f>+H11+H12+H13</f>
        <v>43000</v>
      </c>
      <c r="I25" s="65">
        <f>+I11+I12+I13+I14</f>
        <v>63400</v>
      </c>
    </row>
    <row r="26" spans="2:10" ht="11.25" customHeight="1" x14ac:dyDescent="0.2">
      <c r="D26" s="38" t="s">
        <v>50</v>
      </c>
      <c r="E26" s="39"/>
      <c r="F26" s="66">
        <f>F25/2</f>
        <v>5000</v>
      </c>
      <c r="G26" s="66">
        <f>+G11+G12/2</f>
        <v>17500</v>
      </c>
      <c r="H26" s="66">
        <f>+H11+H12+H13/2</f>
        <v>33000</v>
      </c>
      <c r="I26" s="67">
        <f>+I11+I12+I13+I14/2</f>
        <v>50900</v>
      </c>
    </row>
    <row r="27" spans="2:10" ht="11.25" customHeight="1" x14ac:dyDescent="0.2">
      <c r="G27" s="16"/>
      <c r="H27" s="16"/>
      <c r="I27" s="16"/>
    </row>
    <row r="28" spans="2:10" ht="11.25" customHeight="1" x14ac:dyDescent="0.2">
      <c r="G28" s="16"/>
      <c r="H28" s="16"/>
      <c r="I28" s="16"/>
    </row>
    <row r="29" spans="2:10" x14ac:dyDescent="0.2">
      <c r="B29" s="8" t="s">
        <v>42</v>
      </c>
      <c r="C29" s="8"/>
      <c r="D29" s="7"/>
      <c r="E29" s="7"/>
      <c r="F29" s="7"/>
      <c r="G29" s="7"/>
      <c r="H29" s="7"/>
      <c r="I29" s="7"/>
    </row>
    <row r="34" spans="6:6" x14ac:dyDescent="0.2">
      <c r="F34" s="71"/>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B085E-7F6C-4CF3-BB43-92ADF2D70DA9}">
  <sheetPr>
    <tabColor theme="1"/>
  </sheetPr>
  <dimension ref="A8:W18"/>
  <sheetViews>
    <sheetView showGridLines="0" workbookViewId="0"/>
  </sheetViews>
  <sheetFormatPr defaultColWidth="0" defaultRowHeight="10.199999999999999" x14ac:dyDescent="0.2"/>
  <cols>
    <col min="1" max="1" width="2.6640625" style="2" customWidth="1"/>
    <col min="2" max="2" width="8.6640625" style="2" customWidth="1"/>
    <col min="3" max="3" width="1.6640625" style="2" customWidth="1"/>
    <col min="4" max="4" width="27.6640625" style="2" customWidth="1"/>
    <col min="5" max="23" width="12.6640625" style="2" customWidth="1"/>
    <col min="24" max="16384" width="9.109375" style="2" hidden="1"/>
  </cols>
  <sheetData>
    <row r="8" spans="2:2" x14ac:dyDescent="0.2">
      <c r="B8" s="1"/>
    </row>
    <row r="17" spans="2:11" ht="13.2" x14ac:dyDescent="0.25">
      <c r="B17" s="4" t="s">
        <v>28</v>
      </c>
      <c r="C17" s="5"/>
      <c r="D17" s="5"/>
      <c r="E17" s="5"/>
      <c r="F17" s="5"/>
      <c r="G17" s="5"/>
      <c r="H17" s="5"/>
      <c r="I17" s="5"/>
      <c r="J17" s="5"/>
      <c r="K17" s="6">
        <f ca="1">TODAY()</f>
        <v>46120</v>
      </c>
    </row>
    <row r="18" spans="2:11" x14ac:dyDescent="0.2">
      <c r="B18" s="2" t="str" cm="1">
        <f t="array" aca="1" ref="B18" ca="1">RIGHT(CELL("filename",D17),LEN(CELL("filename",D17))-FIND("]",CELL("filename",D17)))</f>
        <v>Input</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F4BE1-0CA6-4EDB-B3DE-F5E91AAD2DF9}">
  <dimension ref="B2:L39"/>
  <sheetViews>
    <sheetView showGridLines="0" zoomScaleNormal="100" workbookViewId="0"/>
  </sheetViews>
  <sheetFormatPr defaultColWidth="9.109375" defaultRowHeight="10.199999999999999" x14ac:dyDescent="0.2"/>
  <cols>
    <col min="1" max="1" width="2.6640625" style="2" customWidth="1"/>
    <col min="2" max="2" width="8.6640625" style="2" customWidth="1"/>
    <col min="3" max="3" width="1.6640625" style="2" customWidth="1"/>
    <col min="4" max="4" width="24.77734375" style="2" customWidth="1"/>
    <col min="5" max="9" width="9.77734375" style="2" customWidth="1"/>
    <col min="10" max="23" width="12.6640625" style="2" customWidth="1"/>
    <col min="24" max="16384" width="9.109375" style="2"/>
  </cols>
  <sheetData>
    <row r="2" spans="2:10" x14ac:dyDescent="0.2">
      <c r="B2" s="9" t="str">
        <f>Frontpage!B17</f>
        <v>Case Templates - Illustrative examples</v>
      </c>
      <c r="C2" s="9"/>
      <c r="D2" s="5"/>
      <c r="E2" s="5"/>
      <c r="F2" s="5"/>
      <c r="G2" s="5"/>
      <c r="H2" s="5"/>
      <c r="I2" s="5"/>
      <c r="J2" s="5"/>
    </row>
    <row r="4" spans="2:10" x14ac:dyDescent="0.2">
      <c r="B4" s="8" t="s">
        <v>29</v>
      </c>
      <c r="C4" s="8"/>
      <c r="D4" s="7"/>
      <c r="E4" s="7"/>
      <c r="F4" s="7"/>
      <c r="G4" s="7"/>
      <c r="H4" s="7"/>
      <c r="I4" s="7"/>
      <c r="J4" s="7"/>
    </row>
    <row r="6" spans="2:10" x14ac:dyDescent="0.2">
      <c r="B6" s="11">
        <v>1</v>
      </c>
      <c r="C6" s="12" t="s">
        <v>69</v>
      </c>
      <c r="D6" s="12"/>
      <c r="E6" s="11"/>
      <c r="F6" s="10"/>
      <c r="G6" s="10"/>
      <c r="H6" s="10"/>
      <c r="I6" s="10"/>
      <c r="J6" s="10"/>
    </row>
    <row r="8" spans="2:10" s="57" customFormat="1" ht="15.75" customHeight="1" x14ac:dyDescent="0.3">
      <c r="B8" s="56">
        <v>1.1000000000000001</v>
      </c>
      <c r="D8" s="59" t="s">
        <v>184</v>
      </c>
    </row>
    <row r="9" spans="2:10" x14ac:dyDescent="0.2">
      <c r="D9" s="20"/>
      <c r="E9" s="20"/>
      <c r="F9" s="21" t="s">
        <v>146</v>
      </c>
      <c r="G9" s="21" t="s">
        <v>147</v>
      </c>
      <c r="H9" s="21" t="s">
        <v>148</v>
      </c>
      <c r="I9" s="21" t="s">
        <v>149</v>
      </c>
    </row>
    <row r="10" spans="2:10" ht="2.1" customHeight="1" x14ac:dyDescent="0.2">
      <c r="D10" s="14"/>
      <c r="E10" s="14"/>
    </row>
    <row r="11" spans="2:10" x14ac:dyDescent="0.2">
      <c r="D11" s="87" t="s">
        <v>37</v>
      </c>
      <c r="E11" s="100">
        <v>0.05</v>
      </c>
      <c r="F11" s="55"/>
      <c r="G11" s="55"/>
      <c r="H11" s="55"/>
      <c r="I11" s="55"/>
    </row>
    <row r="12" spans="2:10" x14ac:dyDescent="0.2">
      <c r="D12" s="87" t="s">
        <v>109</v>
      </c>
      <c r="E12" s="100">
        <v>0.09</v>
      </c>
      <c r="F12" s="55"/>
      <c r="G12" s="55"/>
      <c r="H12" s="55"/>
      <c r="I12" s="55"/>
    </row>
    <row r="13" spans="2:10" x14ac:dyDescent="0.2">
      <c r="D13" s="87" t="s">
        <v>30</v>
      </c>
      <c r="E13" s="55"/>
      <c r="F13" s="101">
        <v>15</v>
      </c>
      <c r="G13" s="101">
        <v>15</v>
      </c>
      <c r="H13" s="101">
        <v>15</v>
      </c>
      <c r="I13" s="101">
        <v>15</v>
      </c>
    </row>
    <row r="14" spans="2:10" x14ac:dyDescent="0.2">
      <c r="D14" s="87" t="s">
        <v>31</v>
      </c>
      <c r="E14" s="55"/>
      <c r="F14" s="101">
        <v>12</v>
      </c>
      <c r="G14" s="101">
        <v>12</v>
      </c>
      <c r="H14" s="101">
        <v>12</v>
      </c>
      <c r="I14" s="101">
        <v>12</v>
      </c>
    </row>
    <row r="15" spans="2:10" x14ac:dyDescent="0.2">
      <c r="D15" s="87" t="s">
        <v>32</v>
      </c>
      <c r="E15" s="55"/>
      <c r="F15" s="101">
        <v>6</v>
      </c>
      <c r="G15" s="101">
        <v>6</v>
      </c>
      <c r="H15" s="101">
        <v>6</v>
      </c>
      <c r="I15" s="101">
        <v>6</v>
      </c>
    </row>
    <row r="16" spans="2:10" x14ac:dyDescent="0.2">
      <c r="D16" s="161" t="s">
        <v>177</v>
      </c>
      <c r="E16" s="55"/>
      <c r="F16" s="101">
        <v>50</v>
      </c>
      <c r="G16" s="101">
        <v>50</v>
      </c>
      <c r="H16" s="101">
        <v>50</v>
      </c>
      <c r="I16" s="101">
        <v>50</v>
      </c>
    </row>
    <row r="17" spans="2:12" x14ac:dyDescent="0.2">
      <c r="D17" s="87" t="s">
        <v>33</v>
      </c>
      <c r="E17" s="55"/>
      <c r="F17" s="60">
        <f>F13*F14*F15*F16</f>
        <v>54000</v>
      </c>
      <c r="G17" s="60">
        <f t="shared" ref="G17:I17" si="0">G13*G14*G15*G16</f>
        <v>54000</v>
      </c>
      <c r="H17" s="60">
        <f t="shared" si="0"/>
        <v>54000</v>
      </c>
      <c r="I17" s="60">
        <f t="shared" si="0"/>
        <v>54000</v>
      </c>
    </row>
    <row r="18" spans="2:12" x14ac:dyDescent="0.2">
      <c r="D18" s="87" t="s">
        <v>108</v>
      </c>
      <c r="E18" s="55"/>
      <c r="F18" s="101">
        <v>3.1</v>
      </c>
      <c r="G18" s="55">
        <f>ROUND(F18*(1+$E$11),1)</f>
        <v>3.3</v>
      </c>
      <c r="H18" s="55">
        <f t="shared" ref="H18:I18" si="1">ROUND(G18*(1+$E$11),1)</f>
        <v>3.5</v>
      </c>
      <c r="I18" s="55">
        <f t="shared" si="1"/>
        <v>3.7</v>
      </c>
      <c r="K18" s="24"/>
      <c r="L18" s="24"/>
    </row>
    <row r="19" spans="2:12" ht="12" x14ac:dyDescent="0.2">
      <c r="D19" s="87" t="s">
        <v>107</v>
      </c>
      <c r="E19" s="55"/>
      <c r="F19" s="61">
        <f>F18/(1+$E$12)</f>
        <v>2.8440366972477062</v>
      </c>
      <c r="G19" s="61">
        <f t="shared" ref="G19:I19" si="2">G18/(1+$E$12)</f>
        <v>3.0275229357798161</v>
      </c>
      <c r="H19" s="61">
        <f t="shared" si="2"/>
        <v>3.2110091743119265</v>
      </c>
      <c r="I19" s="61">
        <f t="shared" si="2"/>
        <v>3.3944954128440368</v>
      </c>
      <c r="J19" s="24"/>
      <c r="K19" s="24"/>
    </row>
    <row r="20" spans="2:12" ht="12" x14ac:dyDescent="0.2">
      <c r="D20" s="3" t="s">
        <v>34</v>
      </c>
      <c r="E20" s="55"/>
      <c r="F20" s="62">
        <f>F13*F14*F15*F16*F19</f>
        <v>153577.98165137615</v>
      </c>
      <c r="G20" s="62">
        <f t="shared" ref="G20:H20" si="3">G13*G14*G15*G16*G19</f>
        <v>163486.23853211006</v>
      </c>
      <c r="H20" s="62">
        <f t="shared" si="3"/>
        <v>173394.49541284403</v>
      </c>
      <c r="I20" s="62">
        <f>I13*I14*I15*I16*I19</f>
        <v>183302.752293578</v>
      </c>
    </row>
    <row r="21" spans="2:12" x14ac:dyDescent="0.2">
      <c r="E21" s="43"/>
      <c r="F21" s="43"/>
      <c r="G21" s="43"/>
      <c r="H21" s="43"/>
      <c r="I21" s="43"/>
    </row>
    <row r="22" spans="2:12" s="57" customFormat="1" ht="15.75" customHeight="1" x14ac:dyDescent="0.3">
      <c r="B22" s="56">
        <v>1.2</v>
      </c>
      <c r="D22" s="59" t="s">
        <v>185</v>
      </c>
      <c r="E22" s="58"/>
      <c r="F22" s="58"/>
      <c r="G22" s="58"/>
      <c r="H22" s="58"/>
      <c r="I22" s="58"/>
    </row>
    <row r="23" spans="2:12" x14ac:dyDescent="0.2">
      <c r="D23" s="20"/>
      <c r="E23" s="44"/>
      <c r="F23" s="45" t="s">
        <v>146</v>
      </c>
      <c r="G23" s="45" t="s">
        <v>147</v>
      </c>
      <c r="H23" s="45" t="s">
        <v>148</v>
      </c>
      <c r="I23" s="45" t="s">
        <v>149</v>
      </c>
    </row>
    <row r="24" spans="2:12" ht="2.1" customHeight="1" x14ac:dyDescent="0.2">
      <c r="D24" s="3"/>
      <c r="E24" s="46"/>
      <c r="F24" s="46"/>
      <c r="G24" s="46"/>
      <c r="H24" s="46"/>
      <c r="I24" s="46"/>
    </row>
    <row r="25" spans="2:12" x14ac:dyDescent="0.2">
      <c r="D25" s="87" t="s">
        <v>38</v>
      </c>
      <c r="E25" s="75">
        <v>0.1</v>
      </c>
      <c r="F25" s="46"/>
      <c r="G25" s="46"/>
      <c r="H25" s="46"/>
      <c r="I25" s="46"/>
    </row>
    <row r="26" spans="2:12" x14ac:dyDescent="0.2">
      <c r="D26" s="87" t="s">
        <v>39</v>
      </c>
      <c r="E26" s="46"/>
      <c r="F26" s="47">
        <f>$E$25*F17</f>
        <v>5400</v>
      </c>
      <c r="G26" s="47">
        <f t="shared" ref="G26:I26" si="4">$E$25*G17</f>
        <v>5400</v>
      </c>
      <c r="H26" s="47">
        <f t="shared" si="4"/>
        <v>5400</v>
      </c>
      <c r="I26" s="47">
        <f t="shared" si="4"/>
        <v>5400</v>
      </c>
    </row>
    <row r="27" spans="2:12" x14ac:dyDescent="0.2">
      <c r="D27" s="87" t="s">
        <v>111</v>
      </c>
      <c r="E27" s="46"/>
      <c r="F27" s="88">
        <v>4</v>
      </c>
      <c r="G27" s="42">
        <f>ROUND(F27*(1+$E$11),1)</f>
        <v>4.2</v>
      </c>
      <c r="H27" s="42">
        <f t="shared" ref="H27:I27" si="5">ROUND(G27*(1+$E$11),1)</f>
        <v>4.4000000000000004</v>
      </c>
      <c r="I27" s="42">
        <f t="shared" si="5"/>
        <v>4.5999999999999996</v>
      </c>
    </row>
    <row r="28" spans="2:12" ht="12" x14ac:dyDescent="0.2">
      <c r="D28" s="87" t="s">
        <v>110</v>
      </c>
      <c r="E28" s="55"/>
      <c r="F28" s="61">
        <f>+F27/(1+$E$12)</f>
        <v>3.6697247706422016</v>
      </c>
      <c r="G28" s="61">
        <f t="shared" ref="G28:I28" si="6">+G27/(1+$E$12)</f>
        <v>3.8532110091743119</v>
      </c>
      <c r="H28" s="61">
        <f t="shared" si="6"/>
        <v>4.0366972477064218</v>
      </c>
      <c r="I28" s="61">
        <f t="shared" si="6"/>
        <v>4.2201834862385317</v>
      </c>
      <c r="J28" s="24"/>
    </row>
    <row r="29" spans="2:12" ht="12" x14ac:dyDescent="0.2">
      <c r="D29" s="3" t="s">
        <v>35</v>
      </c>
      <c r="E29" s="55"/>
      <c r="F29" s="62">
        <f>F26*F28</f>
        <v>19816.51376146789</v>
      </c>
      <c r="G29" s="62">
        <f t="shared" ref="G29:I29" si="7">G26*G28</f>
        <v>20807.339449541283</v>
      </c>
      <c r="H29" s="62">
        <f t="shared" si="7"/>
        <v>21798.165137614676</v>
      </c>
      <c r="I29" s="62">
        <f t="shared" si="7"/>
        <v>22788.99082568807</v>
      </c>
    </row>
    <row r="30" spans="2:12" x14ac:dyDescent="0.2">
      <c r="D30" s="3"/>
      <c r="E30" s="46"/>
      <c r="F30" s="48"/>
      <c r="G30" s="48"/>
      <c r="H30" s="48"/>
      <c r="I30" s="48"/>
    </row>
    <row r="31" spans="2:12" s="57" customFormat="1" ht="15.75" customHeight="1" x14ac:dyDescent="0.3">
      <c r="B31" s="56">
        <v>1.3</v>
      </c>
      <c r="D31" s="59" t="s">
        <v>36</v>
      </c>
      <c r="E31" s="58"/>
      <c r="F31" s="58"/>
      <c r="G31" s="58"/>
      <c r="H31" s="58"/>
      <c r="I31" s="58"/>
    </row>
    <row r="32" spans="2:12" x14ac:dyDescent="0.2">
      <c r="D32" s="20"/>
      <c r="E32" s="44"/>
      <c r="F32" s="45" t="s">
        <v>146</v>
      </c>
      <c r="G32" s="45" t="s">
        <v>147</v>
      </c>
      <c r="H32" s="45" t="s">
        <v>148</v>
      </c>
      <c r="I32" s="45" t="s">
        <v>149</v>
      </c>
    </row>
    <row r="33" spans="2:10" ht="2.1" customHeight="1" x14ac:dyDescent="0.2">
      <c r="E33" s="41"/>
      <c r="F33" s="41"/>
      <c r="G33" s="41"/>
      <c r="H33" s="41"/>
      <c r="I33" s="41"/>
    </row>
    <row r="34" spans="2:10" x14ac:dyDescent="0.2">
      <c r="D34" s="87" t="s">
        <v>40</v>
      </c>
      <c r="E34" s="41"/>
      <c r="F34" s="32">
        <f>+F20</f>
        <v>153577.98165137615</v>
      </c>
      <c r="G34" s="32">
        <f t="shared" ref="G34:I34" si="8">+G20</f>
        <v>163486.23853211006</v>
      </c>
      <c r="H34" s="32">
        <f t="shared" si="8"/>
        <v>173394.49541284403</v>
      </c>
      <c r="I34" s="32">
        <f t="shared" si="8"/>
        <v>183302.752293578</v>
      </c>
    </row>
    <row r="35" spans="2:10" ht="12" x14ac:dyDescent="0.35">
      <c r="D35" s="87" t="s">
        <v>41</v>
      </c>
      <c r="E35" s="55"/>
      <c r="F35" s="63">
        <f>+F29</f>
        <v>19816.51376146789</v>
      </c>
      <c r="G35" s="63">
        <f t="shared" ref="G35:I35" si="9">+G29</f>
        <v>20807.339449541283</v>
      </c>
      <c r="H35" s="63">
        <f t="shared" si="9"/>
        <v>21798.165137614676</v>
      </c>
      <c r="I35" s="63">
        <f t="shared" si="9"/>
        <v>22788.99082568807</v>
      </c>
    </row>
    <row r="36" spans="2:10" ht="12" x14ac:dyDescent="0.2">
      <c r="D36" s="3" t="s">
        <v>36</v>
      </c>
      <c r="E36" s="55"/>
      <c r="F36" s="62">
        <f>+F34+F35</f>
        <v>173394.49541284403</v>
      </c>
      <c r="G36" s="62">
        <f t="shared" ref="G36:I36" si="10">+G34+G35</f>
        <v>184293.57798165135</v>
      </c>
      <c r="H36" s="62">
        <f t="shared" si="10"/>
        <v>195192.66055045871</v>
      </c>
      <c r="I36" s="62">
        <f t="shared" si="10"/>
        <v>206091.74311926606</v>
      </c>
    </row>
    <row r="39" spans="2:10" x14ac:dyDescent="0.2">
      <c r="B39" s="8" t="s">
        <v>42</v>
      </c>
      <c r="C39" s="8"/>
      <c r="D39" s="7"/>
      <c r="E39" s="7"/>
      <c r="F39" s="7"/>
      <c r="G39" s="7"/>
      <c r="H39" s="7"/>
      <c r="I39" s="7"/>
      <c r="J39" s="7"/>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9E599-DD54-4CAD-9951-AE6B7DE9AAAD}">
  <dimension ref="B2:J34"/>
  <sheetViews>
    <sheetView showGridLines="0" zoomScaleNormal="100" workbookViewId="0"/>
  </sheetViews>
  <sheetFormatPr defaultColWidth="9.109375" defaultRowHeight="10.199999999999999" x14ac:dyDescent="0.2"/>
  <cols>
    <col min="1" max="1" width="2.6640625" style="2" customWidth="1"/>
    <col min="2" max="2" width="8.6640625" style="2" customWidth="1"/>
    <col min="3" max="3" width="1.6640625" style="2" customWidth="1"/>
    <col min="4" max="4" width="24.77734375" style="2" customWidth="1"/>
    <col min="5" max="9" width="9.77734375" style="2" customWidth="1"/>
    <col min="10" max="23" width="12.6640625" style="2" customWidth="1"/>
    <col min="24" max="16384" width="9.109375" style="2"/>
  </cols>
  <sheetData>
    <row r="2" spans="2:10" x14ac:dyDescent="0.2">
      <c r="B2" s="9" t="str">
        <f>Frontpage!B17</f>
        <v>Case Templates - Illustrative examples</v>
      </c>
      <c r="C2" s="9"/>
      <c r="D2" s="5"/>
      <c r="E2" s="5"/>
      <c r="F2" s="5"/>
      <c r="G2" s="5"/>
      <c r="H2" s="5"/>
      <c r="I2" s="5"/>
      <c r="J2" s="5"/>
    </row>
    <row r="4" spans="2:10" x14ac:dyDescent="0.2">
      <c r="B4" s="8" t="s">
        <v>29</v>
      </c>
      <c r="C4" s="8"/>
      <c r="D4" s="7"/>
      <c r="E4" s="7"/>
      <c r="F4" s="7"/>
      <c r="G4" s="7"/>
      <c r="H4" s="7"/>
      <c r="I4" s="7"/>
      <c r="J4" s="7"/>
    </row>
    <row r="6" spans="2:10" x14ac:dyDescent="0.2">
      <c r="B6" s="11">
        <v>2</v>
      </c>
      <c r="C6" s="12" t="s">
        <v>58</v>
      </c>
      <c r="D6" s="12"/>
      <c r="E6" s="11"/>
      <c r="F6" s="10"/>
      <c r="G6" s="10"/>
      <c r="H6" s="10"/>
      <c r="I6" s="10"/>
      <c r="J6" s="10"/>
    </row>
    <row r="8" spans="2:10" ht="15.75" customHeight="1" x14ac:dyDescent="0.25">
      <c r="B8" s="56">
        <v>2.1</v>
      </c>
      <c r="D8" s="59" t="s">
        <v>186</v>
      </c>
      <c r="E8" s="28"/>
      <c r="F8" s="29"/>
      <c r="G8" s="29"/>
      <c r="H8" s="29"/>
      <c r="I8" s="29"/>
    </row>
    <row r="9" spans="2:10" ht="11.25" customHeight="1" x14ac:dyDescent="0.25">
      <c r="D9" s="30"/>
      <c r="E9" s="30"/>
      <c r="F9" s="31" t="s">
        <v>146</v>
      </c>
      <c r="G9" s="31" t="s">
        <v>147</v>
      </c>
      <c r="H9" s="31" t="s">
        <v>148</v>
      </c>
      <c r="I9" s="31" t="s">
        <v>149</v>
      </c>
    </row>
    <row r="10" spans="2:10" ht="2.1" customHeight="1" x14ac:dyDescent="0.2">
      <c r="D10" s="32"/>
      <c r="E10" s="32"/>
      <c r="F10" s="32"/>
      <c r="G10" s="33"/>
      <c r="H10" s="33"/>
      <c r="I10" s="33"/>
    </row>
    <row r="11" spans="2:10" ht="11.25" customHeight="1" x14ac:dyDescent="0.2">
      <c r="D11" s="68" t="s">
        <v>57</v>
      </c>
      <c r="E11" s="32"/>
      <c r="F11" s="75">
        <v>0.15</v>
      </c>
      <c r="G11" s="75">
        <v>0.15</v>
      </c>
      <c r="H11" s="75">
        <v>0.15</v>
      </c>
      <c r="I11" s="75">
        <v>0.15</v>
      </c>
    </row>
    <row r="12" spans="2:10" ht="11.25" customHeight="1" x14ac:dyDescent="0.2">
      <c r="D12" s="68" t="s">
        <v>59</v>
      </c>
      <c r="E12" s="32"/>
      <c r="F12" s="78">
        <f>'1. Revenue'!F20</f>
        <v>153577.98165137615</v>
      </c>
      <c r="G12" s="78">
        <f>'1. Revenue'!G20</f>
        <v>163486.23853211006</v>
      </c>
      <c r="H12" s="78">
        <f>'1. Revenue'!H20</f>
        <v>173394.49541284403</v>
      </c>
      <c r="I12" s="78">
        <f>'1. Revenue'!I20</f>
        <v>183302.752293578</v>
      </c>
    </row>
    <row r="13" spans="2:10" ht="11.25" customHeight="1" x14ac:dyDescent="0.2">
      <c r="D13" s="28" t="s">
        <v>61</v>
      </c>
      <c r="E13" s="28"/>
      <c r="F13" s="76">
        <f>-F11*F12</f>
        <v>-23036.697247706423</v>
      </c>
      <c r="G13" s="76">
        <f>-G11*G12</f>
        <v>-24522.935779816507</v>
      </c>
      <c r="H13" s="76">
        <f>-H11*H12</f>
        <v>-26009.174311926603</v>
      </c>
      <c r="I13" s="76">
        <f>-I11*I12</f>
        <v>-27495.412844036699</v>
      </c>
    </row>
    <row r="14" spans="2:10" ht="11.25" customHeight="1" x14ac:dyDescent="0.2">
      <c r="D14" s="32"/>
      <c r="E14" s="32"/>
      <c r="F14" s="60"/>
      <c r="G14" s="60"/>
      <c r="H14" s="60"/>
      <c r="I14" s="60"/>
    </row>
    <row r="15" spans="2:10" ht="11.25" customHeight="1" x14ac:dyDescent="0.2">
      <c r="D15" s="68" t="s">
        <v>57</v>
      </c>
      <c r="E15" s="32"/>
      <c r="F15" s="75">
        <v>0.2</v>
      </c>
      <c r="G15" s="75">
        <v>0.2</v>
      </c>
      <c r="H15" s="75">
        <v>0.2</v>
      </c>
      <c r="I15" s="75">
        <v>0.2</v>
      </c>
    </row>
    <row r="16" spans="2:10" ht="11.25" customHeight="1" x14ac:dyDescent="0.2">
      <c r="D16" s="68" t="s">
        <v>60</v>
      </c>
      <c r="E16" s="32"/>
      <c r="F16" s="78">
        <f>'1. Revenue'!F29</f>
        <v>19816.51376146789</v>
      </c>
      <c r="G16" s="78">
        <f>'1. Revenue'!G29</f>
        <v>20807.339449541283</v>
      </c>
      <c r="H16" s="78">
        <f>'1. Revenue'!H29</f>
        <v>21798.165137614676</v>
      </c>
      <c r="I16" s="78">
        <f>'1. Revenue'!I29</f>
        <v>22788.99082568807</v>
      </c>
    </row>
    <row r="17" spans="2:10" ht="11.25" customHeight="1" x14ac:dyDescent="0.2">
      <c r="D17" s="28" t="s">
        <v>62</v>
      </c>
      <c r="E17" s="28"/>
      <c r="F17" s="76">
        <f>-F15*F16</f>
        <v>-3963.3027522935781</v>
      </c>
      <c r="G17" s="76">
        <f>-G15*G16</f>
        <v>-4161.4678899082564</v>
      </c>
      <c r="H17" s="76">
        <f>-H15*H16</f>
        <v>-4359.6330275229357</v>
      </c>
      <c r="I17" s="76">
        <f>-I15*I16</f>
        <v>-4557.798165137614</v>
      </c>
    </row>
    <row r="18" spans="2:10" ht="11.25" customHeight="1" x14ac:dyDescent="0.2">
      <c r="D18" s="32"/>
      <c r="E18" s="32"/>
      <c r="F18" s="60"/>
      <c r="G18" s="60"/>
      <c r="H18" s="60"/>
      <c r="I18" s="60"/>
    </row>
    <row r="19" spans="2:10" ht="11.25" customHeight="1" x14ac:dyDescent="0.2">
      <c r="D19" s="28" t="s">
        <v>63</v>
      </c>
      <c r="E19" s="28"/>
      <c r="F19" s="62">
        <f>+F13+F17</f>
        <v>-27000</v>
      </c>
      <c r="G19" s="62">
        <f>+G13+G17</f>
        <v>-28684.403669724765</v>
      </c>
      <c r="H19" s="62">
        <f>+H13+H17</f>
        <v>-30368.807339449537</v>
      </c>
      <c r="I19" s="62">
        <f>+I13+I17</f>
        <v>-32053.211009174312</v>
      </c>
    </row>
    <row r="20" spans="2:10" ht="11.25" customHeight="1" x14ac:dyDescent="0.2">
      <c r="D20" s="32"/>
      <c r="E20" s="32"/>
      <c r="F20" s="55"/>
      <c r="G20" s="55"/>
      <c r="H20" s="55"/>
      <c r="I20" s="55"/>
    </row>
    <row r="21" spans="2:10" ht="11.25" customHeight="1" x14ac:dyDescent="0.2">
      <c r="D21" s="35" t="s">
        <v>64</v>
      </c>
      <c r="E21" s="36"/>
      <c r="F21" s="79">
        <f>(F12+F13)/F12</f>
        <v>0.85</v>
      </c>
      <c r="G21" s="79">
        <f>(G12+G13)/G12</f>
        <v>0.85000000000000009</v>
      </c>
      <c r="H21" s="79">
        <f>(H12+H13)/H12</f>
        <v>0.85</v>
      </c>
      <c r="I21" s="80">
        <f>(I12+I13)/I12</f>
        <v>0.85</v>
      </c>
    </row>
    <row r="22" spans="2:10" ht="11.25" customHeight="1" x14ac:dyDescent="0.2">
      <c r="D22" s="37" t="s">
        <v>65</v>
      </c>
      <c r="E22" s="74"/>
      <c r="F22" s="81">
        <f>(F16+F17)/F16</f>
        <v>0.8</v>
      </c>
      <c r="G22" s="81">
        <f>(G16+G17)/G16</f>
        <v>0.79999999999999993</v>
      </c>
      <c r="H22" s="81">
        <f>(H16+H17)/H16</f>
        <v>0.8</v>
      </c>
      <c r="I22" s="82">
        <f>(I16+I17)/I16</f>
        <v>0.8</v>
      </c>
    </row>
    <row r="23" spans="2:10" ht="11.25" customHeight="1" x14ac:dyDescent="0.2">
      <c r="D23" s="38" t="s">
        <v>66</v>
      </c>
      <c r="E23" s="39"/>
      <c r="F23" s="83">
        <f>((F12+F16)+F19)/(F12+F16)</f>
        <v>0.84428571428571431</v>
      </c>
      <c r="G23" s="83">
        <f>((G12+G16)+G19)/(G12+G16)</f>
        <v>0.84435483870967742</v>
      </c>
      <c r="H23" s="83">
        <f>((H12+H16)+H19)/(H12+H16)</f>
        <v>0.84441624365482237</v>
      </c>
      <c r="I23" s="84">
        <f>((I12+I16)+I19)/(I12+I16)</f>
        <v>0.84447115384615379</v>
      </c>
    </row>
    <row r="24" spans="2:10" ht="11.25" customHeight="1" x14ac:dyDescent="0.2">
      <c r="I24" s="16"/>
    </row>
    <row r="25" spans="2:10" ht="11.25" customHeight="1" x14ac:dyDescent="0.2">
      <c r="I25" s="16"/>
    </row>
    <row r="26" spans="2:10" x14ac:dyDescent="0.2">
      <c r="B26" s="8" t="s">
        <v>42</v>
      </c>
      <c r="C26" s="8"/>
      <c r="D26" s="7"/>
      <c r="E26" s="7"/>
      <c r="F26" s="7"/>
      <c r="G26" s="7"/>
      <c r="H26" s="7"/>
      <c r="I26" s="7"/>
      <c r="J26" s="7"/>
    </row>
    <row r="34" spans="6:6" ht="12" x14ac:dyDescent="0.35">
      <c r="F34" s="77"/>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79E45-9026-4FB0-B620-6E5ED5300FBB}">
  <dimension ref="B2:Y40"/>
  <sheetViews>
    <sheetView showGridLines="0" zoomScaleNormal="100" workbookViewId="0"/>
  </sheetViews>
  <sheetFormatPr defaultColWidth="9.109375" defaultRowHeight="10.199999999999999" x14ac:dyDescent="0.2"/>
  <cols>
    <col min="1" max="1" width="2.6640625" style="2" customWidth="1"/>
    <col min="2" max="2" width="8.6640625" style="2" customWidth="1"/>
    <col min="3" max="3" width="1.6640625" style="2" customWidth="1"/>
    <col min="4" max="4" width="24.77734375" style="2" customWidth="1"/>
    <col min="5" max="5" width="7.109375" style="2" customWidth="1"/>
    <col min="6" max="6" width="13.6640625" style="2" customWidth="1"/>
    <col min="7" max="7" width="12.5546875" style="2" customWidth="1"/>
    <col min="8" max="24" width="9.77734375" style="2" customWidth="1"/>
    <col min="25" max="16384" width="9.109375" style="2"/>
  </cols>
  <sheetData>
    <row r="2" spans="2:25" x14ac:dyDescent="0.2">
      <c r="B2" s="3" t="str">
        <f>Frontpage!B17</f>
        <v>Case Templates - Illustrative examples</v>
      </c>
      <c r="C2" s="3"/>
    </row>
    <row r="4" spans="2:25" x14ac:dyDescent="0.2">
      <c r="B4" s="8" t="s">
        <v>29</v>
      </c>
      <c r="C4" s="8"/>
      <c r="D4" s="7"/>
      <c r="E4" s="7"/>
      <c r="F4" s="7"/>
      <c r="G4" s="7"/>
      <c r="H4" s="7"/>
      <c r="I4" s="7"/>
      <c r="J4" s="7"/>
      <c r="K4" s="7"/>
      <c r="L4" s="7"/>
      <c r="M4" s="7"/>
      <c r="N4" s="7"/>
      <c r="O4" s="7"/>
      <c r="P4" s="7"/>
      <c r="Q4" s="7"/>
      <c r="R4" s="7"/>
      <c r="S4" s="7"/>
      <c r="T4" s="7"/>
      <c r="U4" s="7"/>
      <c r="V4" s="7"/>
      <c r="W4" s="7"/>
      <c r="X4" s="7"/>
      <c r="Y4" s="7"/>
    </row>
    <row r="6" spans="2:25" x14ac:dyDescent="0.2">
      <c r="B6" s="11">
        <v>3</v>
      </c>
      <c r="C6" s="12" t="s">
        <v>75</v>
      </c>
      <c r="D6" s="12"/>
      <c r="E6" s="11"/>
      <c r="F6" s="10"/>
      <c r="G6" s="10"/>
      <c r="H6" s="10"/>
      <c r="I6" s="10"/>
      <c r="J6" s="10"/>
    </row>
    <row r="8" spans="2:25" ht="15.75" customHeight="1" x14ac:dyDescent="0.2">
      <c r="B8" s="56">
        <v>3.1</v>
      </c>
      <c r="D8" s="59" t="s">
        <v>187</v>
      </c>
    </row>
    <row r="9" spans="2:25" x14ac:dyDescent="0.2">
      <c r="D9" s="20"/>
      <c r="E9" s="20"/>
      <c r="F9" s="20"/>
      <c r="G9" s="20"/>
      <c r="H9" s="20"/>
      <c r="I9" s="20"/>
      <c r="J9" s="20"/>
      <c r="K9" s="20"/>
      <c r="L9" s="20"/>
      <c r="M9" s="20"/>
      <c r="N9" s="20"/>
      <c r="O9" s="20"/>
      <c r="P9" s="20"/>
      <c r="Q9" s="20"/>
      <c r="R9" s="20"/>
      <c r="S9" s="20"/>
      <c r="T9" s="20"/>
      <c r="U9" s="20"/>
      <c r="V9" s="20"/>
      <c r="W9" s="20"/>
      <c r="X9" s="20"/>
      <c r="Y9" s="20"/>
    </row>
    <row r="10" spans="2:25" ht="2.1" customHeight="1" x14ac:dyDescent="0.2">
      <c r="D10" s="14"/>
      <c r="E10" s="14"/>
    </row>
    <row r="11" spans="2:25" x14ac:dyDescent="0.2">
      <c r="D11" s="2" t="s">
        <v>76</v>
      </c>
      <c r="E11" s="75">
        <v>0.2</v>
      </c>
      <c r="F11" s="32"/>
      <c r="G11" s="32"/>
      <c r="H11" s="32"/>
      <c r="I11" s="32"/>
      <c r="J11" s="32"/>
      <c r="K11" s="32"/>
      <c r="L11" s="32"/>
      <c r="M11" s="32"/>
      <c r="N11" s="32"/>
      <c r="O11" s="32"/>
      <c r="P11" s="32"/>
      <c r="Q11" s="32"/>
      <c r="R11" s="32"/>
      <c r="S11" s="32"/>
      <c r="T11" s="32"/>
      <c r="U11" s="32"/>
      <c r="V11" s="32"/>
      <c r="W11" s="32"/>
      <c r="X11" s="32"/>
    </row>
    <row r="12" spans="2:25" x14ac:dyDescent="0.2">
      <c r="D12" s="2" t="s">
        <v>22</v>
      </c>
      <c r="E12" s="75">
        <v>0.05</v>
      </c>
      <c r="F12" s="32"/>
      <c r="G12" s="32"/>
      <c r="H12" s="32"/>
      <c r="I12" s="32"/>
      <c r="J12" s="32"/>
      <c r="K12" s="32"/>
      <c r="L12" s="32"/>
      <c r="M12" s="32"/>
      <c r="N12" s="32"/>
      <c r="O12" s="32"/>
      <c r="P12" s="32"/>
      <c r="Q12" s="32"/>
      <c r="R12" s="32"/>
      <c r="S12" s="32"/>
      <c r="T12" s="32"/>
      <c r="U12" s="32"/>
      <c r="V12" s="32"/>
      <c r="W12" s="32"/>
      <c r="X12" s="32"/>
    </row>
    <row r="13" spans="2:25" x14ac:dyDescent="0.2">
      <c r="D13" s="2" t="s">
        <v>23</v>
      </c>
      <c r="E13" s="75">
        <v>0.05</v>
      </c>
      <c r="F13" s="32"/>
      <c r="G13" s="32"/>
      <c r="H13" s="32"/>
      <c r="I13" s="32"/>
      <c r="J13" s="32"/>
      <c r="K13" s="32"/>
      <c r="L13" s="32"/>
      <c r="M13" s="32"/>
      <c r="N13" s="32"/>
      <c r="O13" s="32"/>
      <c r="P13" s="32"/>
      <c r="Q13" s="32"/>
      <c r="R13" s="32"/>
      <c r="S13" s="32"/>
      <c r="T13" s="32"/>
      <c r="U13" s="32"/>
      <c r="V13" s="32"/>
      <c r="W13" s="32"/>
      <c r="X13" s="32"/>
    </row>
    <row r="14" spans="2:25" x14ac:dyDescent="0.2">
      <c r="E14" s="32"/>
      <c r="F14" s="32"/>
      <c r="G14" s="32"/>
      <c r="H14" s="32"/>
      <c r="I14" s="32"/>
      <c r="J14" s="32"/>
      <c r="K14" s="32"/>
      <c r="L14" s="32"/>
      <c r="M14" s="32"/>
      <c r="N14" s="32"/>
      <c r="O14" s="32"/>
      <c r="P14" s="32"/>
      <c r="Q14" s="32"/>
      <c r="R14" s="32"/>
      <c r="S14" s="32"/>
      <c r="T14" s="32"/>
      <c r="U14" s="32"/>
      <c r="V14" s="32"/>
      <c r="W14" s="32"/>
      <c r="X14" s="32"/>
    </row>
    <row r="15" spans="2:25" ht="12" x14ac:dyDescent="0.35">
      <c r="D15" s="20"/>
      <c r="E15" s="110" t="s">
        <v>146</v>
      </c>
      <c r="F15" s="110"/>
      <c r="G15" s="110"/>
      <c r="H15" s="110"/>
      <c r="I15" s="110"/>
      <c r="J15" s="110" t="s">
        <v>147</v>
      </c>
      <c r="K15" s="106"/>
      <c r="L15" s="106"/>
      <c r="M15" s="106"/>
      <c r="N15" s="106"/>
      <c r="O15" s="106" t="s">
        <v>148</v>
      </c>
      <c r="P15" s="106"/>
      <c r="Q15" s="106"/>
      <c r="R15" s="106"/>
      <c r="S15" s="106"/>
      <c r="T15" s="106" t="s">
        <v>149</v>
      </c>
      <c r="U15" s="106"/>
      <c r="V15" s="106"/>
      <c r="W15" s="106"/>
      <c r="X15" s="106"/>
    </row>
    <row r="16" spans="2:25" x14ac:dyDescent="0.2">
      <c r="D16" s="20" t="s">
        <v>25</v>
      </c>
      <c r="E16" s="107" t="s">
        <v>2</v>
      </c>
      <c r="F16" s="108" t="s">
        <v>5</v>
      </c>
      <c r="G16" s="108" t="s">
        <v>6</v>
      </c>
      <c r="H16" s="108" t="s">
        <v>7</v>
      </c>
      <c r="I16" s="108" t="s">
        <v>8</v>
      </c>
      <c r="J16" s="107" t="s">
        <v>2</v>
      </c>
      <c r="K16" s="108" t="s">
        <v>5</v>
      </c>
      <c r="L16" s="108" t="s">
        <v>6</v>
      </c>
      <c r="M16" s="108" t="s">
        <v>7</v>
      </c>
      <c r="N16" s="108" t="s">
        <v>8</v>
      </c>
      <c r="O16" s="107" t="s">
        <v>2</v>
      </c>
      <c r="P16" s="108" t="s">
        <v>5</v>
      </c>
      <c r="Q16" s="108" t="s">
        <v>6</v>
      </c>
      <c r="R16" s="108" t="s">
        <v>7</v>
      </c>
      <c r="S16" s="108" t="s">
        <v>8</v>
      </c>
      <c r="T16" s="107" t="s">
        <v>2</v>
      </c>
      <c r="U16" s="108" t="s">
        <v>5</v>
      </c>
      <c r="V16" s="108" t="s">
        <v>6</v>
      </c>
      <c r="W16" s="108" t="s">
        <v>7</v>
      </c>
      <c r="X16" s="108" t="s">
        <v>8</v>
      </c>
    </row>
    <row r="17" spans="4:24" ht="2.1" customHeight="1" x14ac:dyDescent="0.2">
      <c r="D17" s="14"/>
      <c r="E17" s="109"/>
      <c r="F17" s="109"/>
      <c r="G17" s="109" t="s">
        <v>6</v>
      </c>
      <c r="H17" s="109"/>
      <c r="I17" s="32"/>
      <c r="J17" s="32"/>
      <c r="K17" s="32"/>
      <c r="L17" s="32"/>
      <c r="M17" s="32"/>
      <c r="N17" s="32"/>
      <c r="O17" s="32"/>
      <c r="P17" s="32"/>
      <c r="Q17" s="32"/>
      <c r="R17" s="32"/>
      <c r="S17" s="32"/>
      <c r="T17" s="32"/>
      <c r="U17" s="32"/>
      <c r="V17" s="32"/>
      <c r="W17" s="32"/>
      <c r="X17" s="32"/>
    </row>
    <row r="18" spans="4:24" x14ac:dyDescent="0.2">
      <c r="D18" s="2" t="s">
        <v>9</v>
      </c>
      <c r="E18" s="88">
        <v>1</v>
      </c>
      <c r="F18" s="89">
        <v>-35000</v>
      </c>
      <c r="G18" s="33">
        <f>$E$11*F18</f>
        <v>-7000</v>
      </c>
      <c r="H18" s="33">
        <f>$E$12*F18</f>
        <v>-1750</v>
      </c>
      <c r="I18" s="33">
        <f>E18*SUM(F18:H18)</f>
        <v>-43750</v>
      </c>
      <c r="J18" s="88">
        <v>1</v>
      </c>
      <c r="K18" s="32">
        <f>F18*(1+$E$13)</f>
        <v>-36750</v>
      </c>
      <c r="L18" s="33">
        <f>$E$11*K18</f>
        <v>-7350</v>
      </c>
      <c r="M18" s="33">
        <f>$E$12*K18</f>
        <v>-1837.5</v>
      </c>
      <c r="N18" s="33">
        <f>J18*SUM(K18:M18)</f>
        <v>-45937.5</v>
      </c>
      <c r="O18" s="88">
        <v>1</v>
      </c>
      <c r="P18" s="32">
        <f>K18*(1+$E$13)</f>
        <v>-38587.5</v>
      </c>
      <c r="Q18" s="33">
        <f>$E$11*P18</f>
        <v>-7717.5</v>
      </c>
      <c r="R18" s="33">
        <f>$E$12*P18</f>
        <v>-1929.375</v>
      </c>
      <c r="S18" s="33">
        <f>O18*SUM(P18:R18)</f>
        <v>-48234.375</v>
      </c>
      <c r="T18" s="88">
        <v>1</v>
      </c>
      <c r="U18" s="32">
        <f>P18*(1+$E$13)</f>
        <v>-40516.875</v>
      </c>
      <c r="V18" s="33">
        <f>$E$11*U18</f>
        <v>-8103.375</v>
      </c>
      <c r="W18" s="33">
        <f>$E$12*U18</f>
        <v>-2025.84375</v>
      </c>
      <c r="X18" s="33">
        <f>T18*SUM(U18:W18)</f>
        <v>-50646.09375</v>
      </c>
    </row>
    <row r="19" spans="4:24" x14ac:dyDescent="0.2">
      <c r="D19" s="2" t="s">
        <v>10</v>
      </c>
      <c r="E19" s="88">
        <v>0</v>
      </c>
      <c r="F19" s="89">
        <v>-40000</v>
      </c>
      <c r="G19" s="33">
        <f>$E$11*F19</f>
        <v>-8000</v>
      </c>
      <c r="H19" s="33">
        <f>$E$12*F19</f>
        <v>-2000</v>
      </c>
      <c r="I19" s="33">
        <f>E19*SUM(F19:H19)</f>
        <v>0</v>
      </c>
      <c r="J19" s="88">
        <v>0</v>
      </c>
      <c r="K19" s="32">
        <f t="shared" ref="K19:K20" si="0">F19*(1+$E$13)</f>
        <v>-42000</v>
      </c>
      <c r="L19" s="33">
        <f t="shared" ref="L19:L20" si="1">$E$11*K19</f>
        <v>-8400</v>
      </c>
      <c r="M19" s="33">
        <f t="shared" ref="M19:M20" si="2">$E$12*K19</f>
        <v>-2100</v>
      </c>
      <c r="N19" s="33">
        <f>J19*SUM(K19:M19)</f>
        <v>0</v>
      </c>
      <c r="O19" s="88">
        <v>0</v>
      </c>
      <c r="P19" s="32">
        <f t="shared" ref="P19:P20" si="3">K19*(1+$E$13)</f>
        <v>-44100</v>
      </c>
      <c r="Q19" s="33">
        <f t="shared" ref="Q19:Q20" si="4">$E$11*P19</f>
        <v>-8820</v>
      </c>
      <c r="R19" s="33">
        <f t="shared" ref="R19:R20" si="5">$E$12*P19</f>
        <v>-2205</v>
      </c>
      <c r="S19" s="33">
        <f>O19*SUM(P19:R19)</f>
        <v>0</v>
      </c>
      <c r="T19" s="88">
        <v>0</v>
      </c>
      <c r="U19" s="32">
        <f t="shared" ref="U19:U20" si="6">P19*(1+$E$13)</f>
        <v>-46305</v>
      </c>
      <c r="V19" s="33">
        <f t="shared" ref="V19:V20" si="7">$E$11*U19</f>
        <v>-9261</v>
      </c>
      <c r="W19" s="33">
        <f t="shared" ref="W19:W20" si="8">$E$12*U19</f>
        <v>-2315.25</v>
      </c>
      <c r="X19" s="33">
        <f>T19*SUM(U19:W19)</f>
        <v>0</v>
      </c>
    </row>
    <row r="20" spans="4:24" ht="12" x14ac:dyDescent="0.35">
      <c r="D20" s="2" t="s">
        <v>11</v>
      </c>
      <c r="E20" s="91">
        <v>1</v>
      </c>
      <c r="F20" s="92">
        <v>-50000</v>
      </c>
      <c r="G20" s="93">
        <f t="shared" ref="G20" si="9">$E$11*F20</f>
        <v>-10000</v>
      </c>
      <c r="H20" s="93">
        <f t="shared" ref="H20" si="10">$E$12*F20</f>
        <v>-2500</v>
      </c>
      <c r="I20" s="93">
        <f>E20*SUM(F20:H20)</f>
        <v>-62500</v>
      </c>
      <c r="J20" s="91">
        <v>1</v>
      </c>
      <c r="K20" s="63">
        <f t="shared" si="0"/>
        <v>-52500</v>
      </c>
      <c r="L20" s="93">
        <f t="shared" si="1"/>
        <v>-10500</v>
      </c>
      <c r="M20" s="93">
        <f t="shared" si="2"/>
        <v>-2625</v>
      </c>
      <c r="N20" s="93">
        <f t="shared" ref="N20" si="11">J20*SUM(K20:M20)</f>
        <v>-65625</v>
      </c>
      <c r="O20" s="91">
        <v>1</v>
      </c>
      <c r="P20" s="63">
        <f t="shared" si="3"/>
        <v>-55125</v>
      </c>
      <c r="Q20" s="93">
        <f t="shared" si="4"/>
        <v>-11025</v>
      </c>
      <c r="R20" s="93">
        <f t="shared" si="5"/>
        <v>-2756.25</v>
      </c>
      <c r="S20" s="93">
        <f t="shared" ref="S20" si="12">O20*SUM(P20:R20)</f>
        <v>-68906.25</v>
      </c>
      <c r="T20" s="91">
        <v>1</v>
      </c>
      <c r="U20" s="63">
        <f t="shared" si="6"/>
        <v>-57881.25</v>
      </c>
      <c r="V20" s="93">
        <f t="shared" si="7"/>
        <v>-11576.25</v>
      </c>
      <c r="W20" s="93">
        <f t="shared" si="8"/>
        <v>-2894.0625</v>
      </c>
      <c r="X20" s="93">
        <f t="shared" ref="X20" si="13">T20*SUM(U20:W20)</f>
        <v>-72351.5625</v>
      </c>
    </row>
    <row r="21" spans="4:24" x14ac:dyDescent="0.2">
      <c r="D21" s="3" t="s">
        <v>13</v>
      </c>
      <c r="E21" s="46">
        <f>SUM(E18:E20)</f>
        <v>2</v>
      </c>
      <c r="F21" s="48"/>
      <c r="G21" s="48"/>
      <c r="H21" s="48"/>
      <c r="I21" s="48">
        <f>SUM(I18:I20)</f>
        <v>-106250</v>
      </c>
      <c r="J21" s="46">
        <f>SUM(J18:J20)</f>
        <v>2</v>
      </c>
      <c r="K21" s="48"/>
      <c r="L21" s="48"/>
      <c r="M21" s="48"/>
      <c r="N21" s="48">
        <f>SUM(N18:N20)</f>
        <v>-111562.5</v>
      </c>
      <c r="O21" s="46">
        <f>SUM(O18:O20)</f>
        <v>2</v>
      </c>
      <c r="P21" s="48"/>
      <c r="Q21" s="48"/>
      <c r="R21" s="48"/>
      <c r="S21" s="48">
        <f>SUM(S18:S20)</f>
        <v>-117140.625</v>
      </c>
      <c r="T21" s="46">
        <f>SUM(T18:T20)</f>
        <v>2</v>
      </c>
      <c r="U21" s="48"/>
      <c r="V21" s="48"/>
      <c r="W21" s="48"/>
      <c r="X21" s="48">
        <f>SUM(X18:X20)</f>
        <v>-122997.65625</v>
      </c>
    </row>
    <row r="22" spans="4:24" x14ac:dyDescent="0.2">
      <c r="E22" s="90"/>
      <c r="F22" s="32"/>
      <c r="G22" s="32"/>
      <c r="H22" s="34"/>
      <c r="I22" s="32"/>
      <c r="J22" s="90"/>
      <c r="K22" s="32"/>
      <c r="L22" s="32"/>
      <c r="M22" s="32"/>
      <c r="N22" s="32"/>
      <c r="O22" s="90"/>
      <c r="P22" s="32"/>
      <c r="Q22" s="32"/>
      <c r="R22" s="32"/>
      <c r="S22" s="32"/>
      <c r="T22" s="90"/>
      <c r="U22" s="32"/>
      <c r="V22" s="32"/>
      <c r="W22" s="32"/>
      <c r="X22" s="32"/>
    </row>
    <row r="23" spans="4:24" x14ac:dyDescent="0.2">
      <c r="D23" s="2" t="s">
        <v>20</v>
      </c>
      <c r="E23" s="88">
        <v>0</v>
      </c>
      <c r="F23" s="89">
        <v>-35000</v>
      </c>
      <c r="G23" s="33">
        <f>$E$11*F23</f>
        <v>-7000</v>
      </c>
      <c r="H23" s="33">
        <f>$E$12*F23</f>
        <v>-1750</v>
      </c>
      <c r="I23" s="33">
        <f>E23*SUM(F23:H23)</f>
        <v>0</v>
      </c>
      <c r="J23" s="88">
        <f>E23</f>
        <v>0</v>
      </c>
      <c r="K23" s="32">
        <f>F23*(1+$E$13)</f>
        <v>-36750</v>
      </c>
      <c r="L23" s="33">
        <f>$E$11*K23</f>
        <v>-7350</v>
      </c>
      <c r="M23" s="33">
        <f>$E$12*K23</f>
        <v>-1837.5</v>
      </c>
      <c r="N23" s="33">
        <f>J23*SUM(K23:M23)</f>
        <v>0</v>
      </c>
      <c r="O23" s="88">
        <f>J23</f>
        <v>0</v>
      </c>
      <c r="P23" s="32">
        <f>K23*(1+$E$13)</f>
        <v>-38587.5</v>
      </c>
      <c r="Q23" s="33">
        <f>$E$11*P23</f>
        <v>-7717.5</v>
      </c>
      <c r="R23" s="33">
        <f>$E$12*P23</f>
        <v>-1929.375</v>
      </c>
      <c r="S23" s="33">
        <f>O23*SUM(P23:R23)</f>
        <v>0</v>
      </c>
      <c r="T23" s="88">
        <f>O23</f>
        <v>0</v>
      </c>
      <c r="U23" s="32">
        <f>P23*(1+$E$13)</f>
        <v>-40516.875</v>
      </c>
      <c r="V23" s="33">
        <f>$E$11*U23</f>
        <v>-8103.375</v>
      </c>
      <c r="W23" s="33">
        <f>$E$12*U23</f>
        <v>-2025.84375</v>
      </c>
      <c r="X23" s="33">
        <f>T23*SUM(U23:W23)</f>
        <v>0</v>
      </c>
    </row>
    <row r="24" spans="4:24" ht="12" x14ac:dyDescent="0.35">
      <c r="D24" s="2" t="s">
        <v>21</v>
      </c>
      <c r="E24" s="91">
        <v>0</v>
      </c>
      <c r="F24" s="92">
        <v>-40000</v>
      </c>
      <c r="G24" s="93">
        <f t="shared" ref="G24" si="14">$E$11*F24</f>
        <v>-8000</v>
      </c>
      <c r="H24" s="93">
        <f t="shared" ref="H24" si="15">$E$12*F24</f>
        <v>-2000</v>
      </c>
      <c r="I24" s="93">
        <f>E24*SUM(F24:H24)</f>
        <v>0</v>
      </c>
      <c r="J24" s="91">
        <f>E24</f>
        <v>0</v>
      </c>
      <c r="K24" s="63">
        <f t="shared" ref="K24" si="16">F24*(1+$E$13)</f>
        <v>-42000</v>
      </c>
      <c r="L24" s="93">
        <f t="shared" ref="L24" si="17">$E$11*K24</f>
        <v>-8400</v>
      </c>
      <c r="M24" s="93">
        <f t="shared" ref="M24" si="18">$E$12*K24</f>
        <v>-2100</v>
      </c>
      <c r="N24" s="93">
        <f>J24*SUM(K24:M24)</f>
        <v>0</v>
      </c>
      <c r="O24" s="91">
        <f>J24</f>
        <v>0</v>
      </c>
      <c r="P24" s="63">
        <f t="shared" ref="P24" si="19">K24*(1+$E$13)</f>
        <v>-44100</v>
      </c>
      <c r="Q24" s="93">
        <f t="shared" ref="Q24" si="20">$E$11*P24</f>
        <v>-8820</v>
      </c>
      <c r="R24" s="93">
        <f t="shared" ref="R24" si="21">$E$12*P24</f>
        <v>-2205</v>
      </c>
      <c r="S24" s="93">
        <f>O24*SUM(P24:R24)</f>
        <v>0</v>
      </c>
      <c r="T24" s="91">
        <f>O24</f>
        <v>0</v>
      </c>
      <c r="U24" s="63">
        <f t="shared" ref="U24" si="22">P24*(1+$E$13)</f>
        <v>-46305</v>
      </c>
      <c r="V24" s="93">
        <f t="shared" ref="V24" si="23">$E$11*U24</f>
        <v>-9261</v>
      </c>
      <c r="W24" s="93">
        <f t="shared" ref="W24" si="24">$E$12*U24</f>
        <v>-2315.25</v>
      </c>
      <c r="X24" s="93">
        <f>T24*SUM(U24:W24)</f>
        <v>0</v>
      </c>
    </row>
    <row r="25" spans="4:24" x14ac:dyDescent="0.2">
      <c r="D25" s="3" t="s">
        <v>12</v>
      </c>
      <c r="E25" s="48">
        <f>SUM(E23:E24)</f>
        <v>0</v>
      </c>
      <c r="F25" s="48"/>
      <c r="G25" s="48"/>
      <c r="H25" s="48"/>
      <c r="I25" s="48">
        <f>SUM(I23:I24)</f>
        <v>0</v>
      </c>
      <c r="J25" s="48">
        <f>SUM(J23:J24)</f>
        <v>0</v>
      </c>
      <c r="K25" s="48"/>
      <c r="L25" s="48"/>
      <c r="M25" s="48"/>
      <c r="N25" s="48">
        <f>SUM(N23:N24)</f>
        <v>0</v>
      </c>
      <c r="O25" s="48">
        <f>SUM(O23:O24)</f>
        <v>0</v>
      </c>
      <c r="P25" s="48"/>
      <c r="Q25" s="48"/>
      <c r="R25" s="48"/>
      <c r="S25" s="48">
        <f>SUM(S23:S24)</f>
        <v>0</v>
      </c>
      <c r="T25" s="48">
        <f>SUM(T23:T24)</f>
        <v>0</v>
      </c>
      <c r="U25" s="48"/>
      <c r="V25" s="48"/>
      <c r="W25" s="48"/>
      <c r="X25" s="48">
        <f>SUM(X23:X24)</f>
        <v>0</v>
      </c>
    </row>
    <row r="26" spans="4:24" x14ac:dyDescent="0.2">
      <c r="E26" s="32"/>
      <c r="F26" s="32"/>
      <c r="G26" s="32"/>
      <c r="H26" s="32"/>
      <c r="I26" s="32"/>
      <c r="J26" s="32"/>
      <c r="K26" s="32"/>
      <c r="L26" s="32"/>
      <c r="M26" s="32"/>
      <c r="N26" s="32"/>
      <c r="O26" s="32"/>
      <c r="P26" s="32"/>
      <c r="Q26" s="32"/>
      <c r="R26" s="32"/>
      <c r="S26" s="32"/>
      <c r="T26" s="32"/>
      <c r="U26" s="32"/>
      <c r="V26" s="32"/>
      <c r="W26" s="32"/>
      <c r="X26" s="32"/>
    </row>
    <row r="27" spans="4:24" x14ac:dyDescent="0.2">
      <c r="D27" s="2" t="s">
        <v>15</v>
      </c>
      <c r="E27" s="88">
        <v>0</v>
      </c>
      <c r="F27" s="89">
        <v>-40000</v>
      </c>
      <c r="G27" s="33">
        <f>$E$11*F27</f>
        <v>-8000</v>
      </c>
      <c r="H27" s="33">
        <f>$E$12*F27</f>
        <v>-2000</v>
      </c>
      <c r="I27" s="33">
        <f>E27*SUM(F27:H27)</f>
        <v>0</v>
      </c>
      <c r="J27" s="88">
        <f>E27</f>
        <v>0</v>
      </c>
      <c r="K27" s="32">
        <f>F27*(1+$E$13)</f>
        <v>-42000</v>
      </c>
      <c r="L27" s="33">
        <f>$E$11*K27</f>
        <v>-8400</v>
      </c>
      <c r="M27" s="33">
        <f>$E$12*K27</f>
        <v>-2100</v>
      </c>
      <c r="N27" s="33">
        <f>J27*SUM(K27:M27)</f>
        <v>0</v>
      </c>
      <c r="O27" s="88">
        <f>J27</f>
        <v>0</v>
      </c>
      <c r="P27" s="32">
        <f>K27*(1+$E$13)</f>
        <v>-44100</v>
      </c>
      <c r="Q27" s="33">
        <f>$E$11*P27</f>
        <v>-8820</v>
      </c>
      <c r="R27" s="33">
        <f>$E$12*P27</f>
        <v>-2205</v>
      </c>
      <c r="S27" s="33">
        <f>O27*SUM(P27:R27)</f>
        <v>0</v>
      </c>
      <c r="T27" s="88">
        <f>O27</f>
        <v>0</v>
      </c>
      <c r="U27" s="32">
        <f>P27*(1+$E$13)</f>
        <v>-46305</v>
      </c>
      <c r="V27" s="33">
        <f>$E$11*U27</f>
        <v>-9261</v>
      </c>
      <c r="W27" s="33">
        <f>$E$12*U27</f>
        <v>-2315.25</v>
      </c>
      <c r="X27" s="33">
        <f>T27*SUM(U27:W27)</f>
        <v>0</v>
      </c>
    </row>
    <row r="28" spans="4:24" x14ac:dyDescent="0.2">
      <c r="D28" s="2" t="s">
        <v>16</v>
      </c>
      <c r="E28" s="88">
        <v>0</v>
      </c>
      <c r="F28" s="89">
        <v>-40000</v>
      </c>
      <c r="G28" s="33">
        <f t="shared" ref="G28" si="25">$E$11*F28</f>
        <v>-8000</v>
      </c>
      <c r="H28" s="33">
        <f t="shared" ref="H28" si="26">$E$12*F28</f>
        <v>-2000</v>
      </c>
      <c r="I28" s="33">
        <f>E28*SUM(F28:H28)</f>
        <v>0</v>
      </c>
      <c r="J28" s="88">
        <f t="shared" ref="J28:J30" si="27">E28</f>
        <v>0</v>
      </c>
      <c r="K28" s="32">
        <f t="shared" ref="K28" si="28">F28*(1+$E$13)</f>
        <v>-42000</v>
      </c>
      <c r="L28" s="33">
        <f t="shared" ref="L28" si="29">$E$11*K28</f>
        <v>-8400</v>
      </c>
      <c r="M28" s="33">
        <f t="shared" ref="M28" si="30">$E$12*K28</f>
        <v>-2100</v>
      </c>
      <c r="N28" s="33">
        <f>J28*SUM(K28:M28)</f>
        <v>0</v>
      </c>
      <c r="O28" s="88">
        <f t="shared" ref="O28:O30" si="31">J28</f>
        <v>0</v>
      </c>
      <c r="P28" s="32">
        <f t="shared" ref="P28" si="32">K28*(1+$E$13)</f>
        <v>-44100</v>
      </c>
      <c r="Q28" s="33">
        <f t="shared" ref="Q28" si="33">$E$11*P28</f>
        <v>-8820</v>
      </c>
      <c r="R28" s="33">
        <f t="shared" ref="R28" si="34">$E$12*P28</f>
        <v>-2205</v>
      </c>
      <c r="S28" s="33">
        <f>O28*SUM(P28:R28)</f>
        <v>0</v>
      </c>
      <c r="T28" s="88">
        <f t="shared" ref="T28:T30" si="35">O28</f>
        <v>0</v>
      </c>
      <c r="U28" s="32">
        <f t="shared" ref="U28" si="36">P28*(1+$E$13)</f>
        <v>-46305</v>
      </c>
      <c r="V28" s="33">
        <f t="shared" ref="V28" si="37">$E$11*U28</f>
        <v>-9261</v>
      </c>
      <c r="W28" s="33">
        <f t="shared" ref="W28" si="38">$E$12*U28</f>
        <v>-2315.25</v>
      </c>
      <c r="X28" s="33">
        <f>T28*SUM(U28:W28)</f>
        <v>0</v>
      </c>
    </row>
    <row r="29" spans="4:24" x14ac:dyDescent="0.2">
      <c r="D29" s="2" t="s">
        <v>14</v>
      </c>
      <c r="E29" s="88">
        <v>0</v>
      </c>
      <c r="F29" s="89">
        <v>-40000</v>
      </c>
      <c r="G29" s="33">
        <f>$E$11*F29</f>
        <v>-8000</v>
      </c>
      <c r="H29" s="33">
        <f>$E$12*F29</f>
        <v>-2000</v>
      </c>
      <c r="I29" s="33">
        <f>E29*SUM(F29:H29)</f>
        <v>0</v>
      </c>
      <c r="J29" s="88">
        <f t="shared" si="27"/>
        <v>0</v>
      </c>
      <c r="K29" s="32">
        <f>F29*(1+$E$13)</f>
        <v>-42000</v>
      </c>
      <c r="L29" s="33">
        <f>$E$11*K29</f>
        <v>-8400</v>
      </c>
      <c r="M29" s="33">
        <f>$E$12*K29</f>
        <v>-2100</v>
      </c>
      <c r="N29" s="33">
        <f>J29*SUM(K29:M29)</f>
        <v>0</v>
      </c>
      <c r="O29" s="88">
        <f t="shared" si="31"/>
        <v>0</v>
      </c>
      <c r="P29" s="32">
        <f>K29*(1+$E$13)</f>
        <v>-44100</v>
      </c>
      <c r="Q29" s="33">
        <f>$E$11*P29</f>
        <v>-8820</v>
      </c>
      <c r="R29" s="33">
        <f>$E$12*P29</f>
        <v>-2205</v>
      </c>
      <c r="S29" s="33">
        <f>O29*SUM(P29:R29)</f>
        <v>0</v>
      </c>
      <c r="T29" s="88">
        <f t="shared" si="35"/>
        <v>0</v>
      </c>
      <c r="U29" s="32">
        <f>P29*(1+$E$13)</f>
        <v>-46305</v>
      </c>
      <c r="V29" s="33">
        <f>$E$11*U29</f>
        <v>-9261</v>
      </c>
      <c r="W29" s="33">
        <f>$E$12*U29</f>
        <v>-2315.25</v>
      </c>
      <c r="X29" s="33">
        <f>T29*SUM(U29:W29)</f>
        <v>0</v>
      </c>
    </row>
    <row r="30" spans="4:24" ht="12" x14ac:dyDescent="0.35">
      <c r="D30" s="2" t="s">
        <v>17</v>
      </c>
      <c r="E30" s="91">
        <v>0</v>
      </c>
      <c r="F30" s="92">
        <v>-50000</v>
      </c>
      <c r="G30" s="93">
        <f t="shared" ref="G30" si="39">$E$11*F30</f>
        <v>-10000</v>
      </c>
      <c r="H30" s="93">
        <f t="shared" ref="H30" si="40">$E$12*F30</f>
        <v>-2500</v>
      </c>
      <c r="I30" s="93">
        <f>E30*SUM(F30:H30)</f>
        <v>0</v>
      </c>
      <c r="J30" s="91">
        <f t="shared" si="27"/>
        <v>0</v>
      </c>
      <c r="K30" s="63">
        <f t="shared" ref="K30" si="41">F30*(1+$E$13)</f>
        <v>-52500</v>
      </c>
      <c r="L30" s="93">
        <f t="shared" ref="L30" si="42">$E$11*K30</f>
        <v>-10500</v>
      </c>
      <c r="M30" s="93">
        <f t="shared" ref="M30" si="43">$E$12*K30</f>
        <v>-2625</v>
      </c>
      <c r="N30" s="93">
        <f>J30*SUM(K30:M30)</f>
        <v>0</v>
      </c>
      <c r="O30" s="91">
        <f t="shared" si="31"/>
        <v>0</v>
      </c>
      <c r="P30" s="63">
        <f t="shared" ref="P30" si="44">K30*(1+$E$13)</f>
        <v>-55125</v>
      </c>
      <c r="Q30" s="93">
        <f t="shared" ref="Q30" si="45">$E$11*P30</f>
        <v>-11025</v>
      </c>
      <c r="R30" s="93">
        <f t="shared" ref="R30" si="46">$E$12*P30</f>
        <v>-2756.25</v>
      </c>
      <c r="S30" s="93">
        <f>O30*SUM(P30:R30)</f>
        <v>0</v>
      </c>
      <c r="T30" s="91">
        <f t="shared" si="35"/>
        <v>0</v>
      </c>
      <c r="U30" s="63">
        <f t="shared" ref="U30" si="47">P30*(1+$E$13)</f>
        <v>-57881.25</v>
      </c>
      <c r="V30" s="93">
        <f t="shared" ref="V30" si="48">$E$11*U30</f>
        <v>-11576.25</v>
      </c>
      <c r="W30" s="93">
        <f t="shared" ref="W30" si="49">$E$12*U30</f>
        <v>-2894.0625</v>
      </c>
      <c r="X30" s="93">
        <f>T30*SUM(U30:W30)</f>
        <v>0</v>
      </c>
    </row>
    <row r="31" spans="4:24" x14ac:dyDescent="0.2">
      <c r="D31" s="3" t="s">
        <v>18</v>
      </c>
      <c r="E31" s="46">
        <f>SUM(E27:E30)</f>
        <v>0</v>
      </c>
      <c r="F31" s="48"/>
      <c r="G31" s="48"/>
      <c r="H31" s="48"/>
      <c r="I31" s="48">
        <f>SUM(I27:I30)</f>
        <v>0</v>
      </c>
      <c r="J31" s="46">
        <f>SUM(J27:J30)</f>
        <v>0</v>
      </c>
      <c r="K31" s="48"/>
      <c r="L31" s="48"/>
      <c r="M31" s="48"/>
      <c r="N31" s="48">
        <f>SUM(N28:N30)</f>
        <v>0</v>
      </c>
      <c r="O31" s="46">
        <f>SUM(O27:O30)</f>
        <v>0</v>
      </c>
      <c r="P31" s="48"/>
      <c r="Q31" s="48"/>
      <c r="R31" s="48"/>
      <c r="S31" s="48">
        <f>SUM(S28:S30)</f>
        <v>0</v>
      </c>
      <c r="T31" s="46">
        <f>SUM(T27:T30)</f>
        <v>0</v>
      </c>
      <c r="U31" s="48"/>
      <c r="V31" s="48"/>
      <c r="W31" s="48"/>
      <c r="X31" s="48">
        <f>SUM(X28:X30)</f>
        <v>0</v>
      </c>
    </row>
    <row r="32" spans="4:24" x14ac:dyDescent="0.2">
      <c r="E32" s="32"/>
      <c r="F32" s="32"/>
      <c r="G32" s="32"/>
      <c r="H32" s="32"/>
      <c r="I32" s="32"/>
      <c r="J32" s="32"/>
      <c r="K32" s="32"/>
      <c r="L32" s="32"/>
      <c r="M32" s="32"/>
      <c r="N32" s="32"/>
      <c r="O32" s="32"/>
      <c r="P32" s="32"/>
      <c r="Q32" s="32"/>
      <c r="R32" s="32"/>
      <c r="S32" s="32"/>
      <c r="T32" s="32"/>
      <c r="U32" s="32"/>
      <c r="V32" s="32"/>
      <c r="W32" s="32"/>
      <c r="X32" s="32"/>
    </row>
    <row r="33" spans="2:25" ht="12" x14ac:dyDescent="0.35">
      <c r="D33" s="3" t="s">
        <v>19</v>
      </c>
      <c r="E33" s="94">
        <f>E31+E25+E21</f>
        <v>2</v>
      </c>
      <c r="F33" s="95"/>
      <c r="G33" s="95"/>
      <c r="H33" s="95"/>
      <c r="I33" s="96">
        <f>I31+I25+I21</f>
        <v>-106250</v>
      </c>
      <c r="J33" s="94">
        <f>J31+J25+J21</f>
        <v>2</v>
      </c>
      <c r="K33" s="95"/>
      <c r="L33" s="95"/>
      <c r="M33" s="95"/>
      <c r="N33" s="96">
        <f>N31+N25+N21</f>
        <v>-111562.5</v>
      </c>
      <c r="O33" s="94">
        <f>O31+O25+O21</f>
        <v>2</v>
      </c>
      <c r="P33" s="95"/>
      <c r="Q33" s="95"/>
      <c r="R33" s="95"/>
      <c r="S33" s="96">
        <f>S31+S25+S21</f>
        <v>-117140.625</v>
      </c>
      <c r="T33" s="94">
        <f>T31+T25+T21</f>
        <v>2</v>
      </c>
      <c r="U33" s="95"/>
      <c r="V33" s="95"/>
      <c r="W33" s="95"/>
      <c r="X33" s="96">
        <f>X31+X25+X21</f>
        <v>-122997.65625</v>
      </c>
    </row>
    <row r="34" spans="2:25" x14ac:dyDescent="0.2">
      <c r="E34" s="32"/>
      <c r="F34" s="32"/>
      <c r="G34" s="32"/>
      <c r="H34" s="32"/>
      <c r="I34" s="32"/>
      <c r="J34" s="32"/>
      <c r="K34" s="32"/>
      <c r="L34" s="32"/>
      <c r="M34" s="32"/>
      <c r="N34" s="32"/>
      <c r="O34" s="32"/>
      <c r="P34" s="32"/>
      <c r="Q34" s="32"/>
      <c r="R34" s="32"/>
      <c r="S34" s="32"/>
      <c r="T34" s="32"/>
      <c r="U34" s="32"/>
      <c r="V34" s="32"/>
      <c r="W34" s="32"/>
      <c r="X34" s="32"/>
    </row>
    <row r="35" spans="2:25" x14ac:dyDescent="0.2">
      <c r="D35" s="3" t="s">
        <v>160</v>
      </c>
      <c r="E35" s="32"/>
      <c r="F35" s="32"/>
      <c r="G35" s="32"/>
      <c r="H35" s="32"/>
      <c r="I35" s="32"/>
      <c r="J35" s="32"/>
      <c r="K35" s="32"/>
      <c r="L35" s="32"/>
      <c r="M35" s="32"/>
      <c r="N35" s="32"/>
      <c r="O35" s="32"/>
      <c r="P35" s="32"/>
      <c r="Q35" s="32"/>
      <c r="R35" s="32"/>
      <c r="S35" s="32"/>
      <c r="T35" s="32"/>
      <c r="U35" s="32"/>
      <c r="V35" s="32"/>
      <c r="W35" s="32"/>
      <c r="X35" s="32"/>
    </row>
    <row r="36" spans="2:25" ht="2.1" customHeight="1" x14ac:dyDescent="0.2">
      <c r="D36" s="3"/>
      <c r="E36" s="32"/>
      <c r="F36" s="32"/>
      <c r="G36" s="32"/>
      <c r="H36" s="32"/>
      <c r="I36" s="32"/>
      <c r="J36" s="32"/>
      <c r="K36" s="32"/>
      <c r="L36" s="32"/>
      <c r="M36" s="32"/>
      <c r="N36" s="32"/>
      <c r="O36" s="32"/>
      <c r="P36" s="32"/>
      <c r="Q36" s="32"/>
      <c r="R36" s="32"/>
      <c r="S36" s="32"/>
      <c r="T36" s="32"/>
      <c r="U36" s="32"/>
      <c r="V36" s="32"/>
      <c r="W36" s="32"/>
      <c r="X36" s="32"/>
    </row>
    <row r="37" spans="2:25" x14ac:dyDescent="0.2">
      <c r="D37" s="22" t="s">
        <v>67</v>
      </c>
      <c r="E37" s="99">
        <f>+'1. Revenue'!F36/'3. Employee expenses'!E33</f>
        <v>86697.247706422015</v>
      </c>
      <c r="F37" s="74"/>
      <c r="G37" s="74"/>
      <c r="H37" s="74"/>
      <c r="I37" s="74"/>
      <c r="J37" s="98"/>
      <c r="K37" s="74"/>
      <c r="L37" s="74"/>
      <c r="M37" s="74"/>
      <c r="N37" s="74"/>
      <c r="O37" s="98"/>
      <c r="P37" s="74"/>
      <c r="Q37" s="74"/>
      <c r="R37" s="74"/>
      <c r="S37" s="74"/>
      <c r="T37" s="98"/>
      <c r="U37" s="74"/>
      <c r="V37" s="74"/>
      <c r="W37" s="74"/>
      <c r="X37" s="74"/>
    </row>
    <row r="40" spans="2:25" x14ac:dyDescent="0.2">
      <c r="B40" s="8" t="s">
        <v>42</v>
      </c>
      <c r="C40" s="8"/>
      <c r="D40" s="7"/>
      <c r="E40" s="7"/>
      <c r="F40" s="7"/>
      <c r="G40" s="7"/>
      <c r="H40" s="7"/>
      <c r="I40" s="7"/>
      <c r="J40" s="7"/>
      <c r="K40" s="7"/>
      <c r="L40" s="7"/>
      <c r="M40" s="7"/>
      <c r="N40" s="7"/>
      <c r="O40" s="7"/>
      <c r="P40" s="7"/>
      <c r="Q40" s="7"/>
      <c r="R40" s="7"/>
      <c r="S40" s="7"/>
      <c r="T40" s="7"/>
      <c r="U40" s="7"/>
      <c r="V40" s="7"/>
      <c r="W40" s="7"/>
      <c r="X40" s="7"/>
      <c r="Y40" s="7"/>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5E357-DFAE-4163-8469-3DD9DEFC2859}">
  <dimension ref="A1:I113"/>
  <sheetViews>
    <sheetView showGridLines="0" zoomScaleNormal="100" workbookViewId="0"/>
  </sheetViews>
  <sheetFormatPr defaultColWidth="9.109375" defaultRowHeight="10.199999999999999" x14ac:dyDescent="0.2"/>
  <cols>
    <col min="1" max="1" width="2.6640625" style="2" customWidth="1"/>
    <col min="2" max="2" width="8.6640625" style="2" customWidth="1"/>
    <col min="3" max="3" width="1.6640625" style="2" customWidth="1"/>
    <col min="4" max="4" width="24.77734375" style="2" customWidth="1"/>
    <col min="5" max="9" width="9.77734375" style="2" customWidth="1"/>
    <col min="10" max="23" width="12.6640625" style="2" customWidth="1"/>
    <col min="24" max="16384" width="9.109375" style="2"/>
  </cols>
  <sheetData>
    <row r="1" spans="1:9" x14ac:dyDescent="0.2">
      <c r="A1" s="33"/>
    </row>
    <row r="2" spans="1:9" x14ac:dyDescent="0.2">
      <c r="B2" s="9" t="str">
        <f>Frontpage!B17</f>
        <v>Case Templates - Illustrative examples</v>
      </c>
      <c r="C2" s="9"/>
      <c r="D2" s="5"/>
      <c r="E2" s="5"/>
      <c r="F2" s="5"/>
      <c r="G2" s="5"/>
      <c r="H2" s="5"/>
      <c r="I2" s="5"/>
    </row>
    <row r="4" spans="1:9" x14ac:dyDescent="0.2">
      <c r="B4" s="8" t="s">
        <v>29</v>
      </c>
      <c r="C4" s="8"/>
      <c r="D4" s="7"/>
      <c r="E4" s="7"/>
      <c r="F4" s="7"/>
      <c r="G4" s="7"/>
      <c r="H4" s="7"/>
      <c r="I4" s="7"/>
    </row>
    <row r="6" spans="1:9" x14ac:dyDescent="0.2">
      <c r="B6" s="11">
        <v>4</v>
      </c>
      <c r="C6" s="12" t="s">
        <v>83</v>
      </c>
      <c r="D6" s="12"/>
      <c r="E6" s="11"/>
      <c r="F6" s="10"/>
      <c r="G6" s="10"/>
      <c r="H6" s="10"/>
      <c r="I6" s="10"/>
    </row>
    <row r="8" spans="1:9" s="57" customFormat="1" ht="15.75" customHeight="1" x14ac:dyDescent="0.3">
      <c r="B8" s="56">
        <v>4.0999999999999996</v>
      </c>
      <c r="D8" s="59" t="s">
        <v>188</v>
      </c>
      <c r="E8" s="112"/>
      <c r="F8" s="112"/>
      <c r="G8" s="112"/>
      <c r="H8" s="112"/>
      <c r="I8" s="113"/>
    </row>
    <row r="9" spans="1:9" ht="11.25" customHeight="1" x14ac:dyDescent="0.25">
      <c r="D9" s="30"/>
      <c r="E9" s="30"/>
      <c r="F9" s="31" t="s">
        <v>146</v>
      </c>
      <c r="G9" s="31" t="s">
        <v>147</v>
      </c>
      <c r="H9" s="31" t="s">
        <v>148</v>
      </c>
      <c r="I9" s="31" t="s">
        <v>149</v>
      </c>
    </row>
    <row r="10" spans="1:9" ht="2.1" customHeight="1" x14ac:dyDescent="0.2">
      <c r="D10" s="32"/>
      <c r="E10" s="32"/>
      <c r="F10" s="32"/>
      <c r="G10" s="33"/>
      <c r="H10" s="33"/>
      <c r="I10" s="33"/>
    </row>
    <row r="11" spans="1:9" ht="11.25" customHeight="1" x14ac:dyDescent="0.2">
      <c r="D11" s="68" t="s">
        <v>69</v>
      </c>
      <c r="E11" s="60"/>
      <c r="F11" s="60">
        <f>'1. Revenue'!F36</f>
        <v>173394.49541284403</v>
      </c>
      <c r="G11" s="60">
        <f>'1. Revenue'!G36</f>
        <v>184293.57798165135</v>
      </c>
      <c r="H11" s="60">
        <f>'1. Revenue'!H36</f>
        <v>195192.66055045871</v>
      </c>
      <c r="I11" s="60">
        <f>'1. Revenue'!I36</f>
        <v>206091.74311926606</v>
      </c>
    </row>
    <row r="12" spans="1:9" ht="11.25" customHeight="1" x14ac:dyDescent="0.2">
      <c r="D12" s="68" t="s">
        <v>73</v>
      </c>
      <c r="E12" s="111">
        <v>0.03</v>
      </c>
      <c r="F12" s="60"/>
      <c r="G12" s="60"/>
      <c r="H12" s="60"/>
      <c r="I12" s="60"/>
    </row>
    <row r="13" spans="1:9" x14ac:dyDescent="0.2">
      <c r="D13" s="68" t="s">
        <v>68</v>
      </c>
      <c r="E13" s="60"/>
      <c r="F13" s="102">
        <v>-20000</v>
      </c>
      <c r="G13" s="60">
        <f>F13*(1+$E$12)</f>
        <v>-20600</v>
      </c>
      <c r="H13" s="60">
        <f t="shared" ref="H13:I13" si="0">G13*(1+$E$12)</f>
        <v>-21218</v>
      </c>
      <c r="I13" s="60">
        <f t="shared" si="0"/>
        <v>-21854.54</v>
      </c>
    </row>
    <row r="14" spans="1:9" ht="11.25" customHeight="1" x14ac:dyDescent="0.2">
      <c r="D14" s="68" t="s">
        <v>70</v>
      </c>
      <c r="E14" s="60"/>
      <c r="F14" s="104">
        <v>-5000</v>
      </c>
      <c r="G14" s="78">
        <f>+F14*(1+$E$12)</f>
        <v>-5150</v>
      </c>
      <c r="H14" s="78">
        <f t="shared" ref="H14:I14" si="1">+G14*(1+$E$12)</f>
        <v>-5304.5</v>
      </c>
      <c r="I14" s="78">
        <f t="shared" si="1"/>
        <v>-5463.6350000000002</v>
      </c>
    </row>
    <row r="15" spans="1:9" ht="11.25" customHeight="1" x14ac:dyDescent="0.2">
      <c r="D15" s="28" t="s">
        <v>71</v>
      </c>
      <c r="E15" s="60"/>
      <c r="F15" s="76">
        <f>SUM(F13:F14)</f>
        <v>-25000</v>
      </c>
      <c r="G15" s="76">
        <f t="shared" ref="G15:I15" si="2">SUM(G13:G14)</f>
        <v>-25750</v>
      </c>
      <c r="H15" s="76">
        <f t="shared" si="2"/>
        <v>-26522.5</v>
      </c>
      <c r="I15" s="76">
        <f t="shared" si="2"/>
        <v>-27318.175000000003</v>
      </c>
    </row>
    <row r="16" spans="1:9" ht="1.5" customHeight="1" x14ac:dyDescent="0.2">
      <c r="D16" s="32"/>
      <c r="E16" s="60"/>
      <c r="F16" s="60"/>
      <c r="G16" s="60"/>
      <c r="H16" s="60"/>
      <c r="I16" s="60"/>
    </row>
    <row r="17" spans="2:9" ht="11.25" customHeight="1" x14ac:dyDescent="0.2">
      <c r="D17" s="50" t="s">
        <v>72</v>
      </c>
      <c r="E17" s="148"/>
      <c r="F17" s="149">
        <f>-F15/F11</f>
        <v>0.14417989417989419</v>
      </c>
      <c r="G17" s="149">
        <f>-G15/G11</f>
        <v>0.13972272003185984</v>
      </c>
      <c r="H17" s="149">
        <f>-H15/H11</f>
        <v>0.1358785721000188</v>
      </c>
      <c r="I17" s="150">
        <f>-I15/I11</f>
        <v>0.13255346665776355</v>
      </c>
    </row>
    <row r="18" spans="2:9" ht="11.25" customHeight="1" x14ac:dyDescent="0.2">
      <c r="D18" s="32"/>
      <c r="E18" s="32"/>
      <c r="F18" s="33"/>
      <c r="G18" s="33"/>
      <c r="H18" s="33"/>
      <c r="I18" s="32"/>
    </row>
    <row r="19" spans="2:9" s="57" customFormat="1" ht="15.75" customHeight="1" x14ac:dyDescent="0.3">
      <c r="B19" s="56">
        <v>4.2</v>
      </c>
      <c r="D19" s="59" t="s">
        <v>192</v>
      </c>
      <c r="E19" s="112"/>
      <c r="F19" s="112"/>
      <c r="G19" s="112"/>
      <c r="H19" s="112"/>
      <c r="I19" s="113"/>
    </row>
    <row r="20" spans="2:9" ht="11.25" customHeight="1" x14ac:dyDescent="0.25">
      <c r="D20" s="30"/>
      <c r="E20" s="30"/>
      <c r="F20" s="31" t="s">
        <v>146</v>
      </c>
      <c r="G20" s="31" t="s">
        <v>147</v>
      </c>
      <c r="H20" s="31" t="s">
        <v>148</v>
      </c>
      <c r="I20" s="31" t="s">
        <v>149</v>
      </c>
    </row>
    <row r="21" spans="2:9" ht="2.1" customHeight="1" x14ac:dyDescent="0.2">
      <c r="D21" s="32"/>
      <c r="E21" s="32"/>
      <c r="F21" s="32"/>
      <c r="G21" s="33"/>
      <c r="H21" s="33"/>
      <c r="I21" s="33"/>
    </row>
    <row r="22" spans="2:9" ht="11.25" customHeight="1" x14ac:dyDescent="0.2">
      <c r="D22" s="32" t="s">
        <v>94</v>
      </c>
      <c r="E22" s="32"/>
      <c r="F22" s="111">
        <v>0.15</v>
      </c>
      <c r="G22" s="111">
        <v>0.19</v>
      </c>
      <c r="H22" s="111">
        <v>0.19</v>
      </c>
      <c r="I22" s="111">
        <v>0.19</v>
      </c>
    </row>
    <row r="23" spans="2:9" ht="11.25" customHeight="1" x14ac:dyDescent="0.2">
      <c r="D23" s="32" t="s">
        <v>95</v>
      </c>
      <c r="E23" s="32"/>
      <c r="F23" s="111">
        <v>0.25800000000000001</v>
      </c>
      <c r="G23" s="111">
        <v>0.25800000000000001</v>
      </c>
      <c r="H23" s="111">
        <v>0.25800000000000001</v>
      </c>
      <c r="I23" s="111">
        <v>0.25800000000000001</v>
      </c>
    </row>
    <row r="24" spans="2:9" ht="11.25" customHeight="1" x14ac:dyDescent="0.2">
      <c r="D24" s="32" t="s">
        <v>4</v>
      </c>
      <c r="E24" s="32"/>
      <c r="F24" s="78">
        <f>'1. Financial statements'!F25</f>
        <v>11394.495412844029</v>
      </c>
      <c r="G24" s="78">
        <f>'1. Financial statements'!G25</f>
        <v>14896.674311926588</v>
      </c>
      <c r="H24" s="78">
        <f>'1. Financial statements'!H25</f>
        <v>16610.728211009176</v>
      </c>
      <c r="I24" s="78">
        <f>'1. Financial statements'!I25</f>
        <v>19522.700860091747</v>
      </c>
    </row>
    <row r="25" spans="2:9" ht="11.25" customHeight="1" x14ac:dyDescent="0.2">
      <c r="D25" s="28" t="s">
        <v>156</v>
      </c>
      <c r="E25" s="28"/>
      <c r="F25" s="54">
        <f>-IF(F24&lt;200000,F22*F24,F22*200000+F23*(F24-200000))</f>
        <v>-1709.1743119266043</v>
      </c>
      <c r="G25" s="54">
        <f>-IF(G24&lt;200000,G22*G24,G22*200000+G23*(G24-200000))</f>
        <v>-2830.368119266052</v>
      </c>
      <c r="H25" s="54">
        <f>-IF(H24&lt;200000,H22*H24,H22*200000+H23*(H24-200000))</f>
        <v>-3156.0383600917435</v>
      </c>
      <c r="I25" s="54">
        <f>-IF(I24&lt;200000,I22*I24,I22*200000+I23*(I24-200000))</f>
        <v>-3709.313163417432</v>
      </c>
    </row>
    <row r="26" spans="2:9" ht="2.1" customHeight="1" x14ac:dyDescent="0.2">
      <c r="D26" s="32"/>
      <c r="E26" s="32"/>
      <c r="F26" s="33"/>
      <c r="G26" s="33"/>
      <c r="H26" s="33"/>
      <c r="I26" s="33"/>
    </row>
    <row r="27" spans="2:9" ht="11.25" customHeight="1" x14ac:dyDescent="0.2">
      <c r="D27" s="50" t="s">
        <v>96</v>
      </c>
      <c r="E27" s="40"/>
      <c r="F27" s="25">
        <f>-F25/F24</f>
        <v>0.15</v>
      </c>
      <c r="G27" s="25">
        <f>-G25/G24</f>
        <v>0.19</v>
      </c>
      <c r="H27" s="25">
        <f>-H25/H24</f>
        <v>0.19</v>
      </c>
      <c r="I27" s="26">
        <f>-I25/I24</f>
        <v>0.19</v>
      </c>
    </row>
    <row r="28" spans="2:9" ht="11.25" customHeight="1" x14ac:dyDescent="0.2">
      <c r="D28" s="32"/>
      <c r="E28" s="32"/>
      <c r="F28" s="33"/>
      <c r="G28" s="33"/>
      <c r="H28" s="33"/>
      <c r="I28" s="33"/>
    </row>
    <row r="29" spans="2:9" s="57" customFormat="1" ht="15.75" customHeight="1" x14ac:dyDescent="0.3">
      <c r="B29" s="56">
        <v>4.3</v>
      </c>
      <c r="D29" s="59" t="s">
        <v>193</v>
      </c>
      <c r="E29" s="112"/>
      <c r="F29" s="112"/>
      <c r="G29" s="112"/>
      <c r="H29" s="112"/>
      <c r="I29" s="113"/>
    </row>
    <row r="30" spans="2:9" ht="11.25" customHeight="1" x14ac:dyDescent="0.25">
      <c r="D30" s="30"/>
      <c r="E30" s="30"/>
      <c r="F30" s="31" t="s">
        <v>146</v>
      </c>
      <c r="G30" s="31" t="s">
        <v>147</v>
      </c>
      <c r="H30" s="31" t="s">
        <v>148</v>
      </c>
      <c r="I30" s="31" t="s">
        <v>149</v>
      </c>
    </row>
    <row r="31" spans="2:9" ht="2.1" customHeight="1" x14ac:dyDescent="0.2">
      <c r="D31" s="32"/>
      <c r="E31" s="32"/>
      <c r="F31" s="32"/>
      <c r="G31" s="33"/>
      <c r="H31" s="33"/>
      <c r="I31" s="33"/>
    </row>
    <row r="32" spans="2:9" ht="11.25" customHeight="1" x14ac:dyDescent="0.2">
      <c r="D32" s="162" t="s">
        <v>178</v>
      </c>
      <c r="E32" s="32"/>
      <c r="F32" s="111">
        <v>0.15</v>
      </c>
      <c r="G32" s="111">
        <v>0.19</v>
      </c>
      <c r="H32" s="111">
        <v>0.19</v>
      </c>
      <c r="I32" s="111">
        <v>0.19</v>
      </c>
    </row>
    <row r="33" spans="2:9" ht="11.25" customHeight="1" x14ac:dyDescent="0.2">
      <c r="D33" s="162" t="s">
        <v>179</v>
      </c>
      <c r="E33" s="32"/>
      <c r="F33" s="111">
        <v>0.25800000000000001</v>
      </c>
      <c r="G33" s="111">
        <v>0.25800000000000001</v>
      </c>
      <c r="H33" s="111">
        <v>0.25800000000000001</v>
      </c>
      <c r="I33" s="111">
        <v>0.25800000000000001</v>
      </c>
    </row>
    <row r="34" spans="2:9" ht="11.25" customHeight="1" x14ac:dyDescent="0.2">
      <c r="D34" s="32" t="s">
        <v>3</v>
      </c>
      <c r="E34" s="32"/>
      <c r="F34" s="78">
        <f>'1. Financial statements'!F23</f>
        <v>13144.495412844029</v>
      </c>
      <c r="G34" s="78">
        <f>'1. Financial statements'!G23</f>
        <v>16296.674311926588</v>
      </c>
      <c r="H34" s="78">
        <f>'1. Financial statements'!H23</f>
        <v>17660.728211009176</v>
      </c>
      <c r="I34" s="78">
        <f>'1. Financial statements'!I23</f>
        <v>20222.700860091747</v>
      </c>
    </row>
    <row r="35" spans="2:9" ht="11.25" customHeight="1" x14ac:dyDescent="0.2">
      <c r="D35" s="28" t="s">
        <v>157</v>
      </c>
      <c r="E35" s="28"/>
      <c r="F35" s="54">
        <f>-IF(F34&lt;200000,F32*F34,F32*200000+F33*(F34-200000))</f>
        <v>-1971.6743119266043</v>
      </c>
      <c r="G35" s="54">
        <f>-IF(G34&lt;200000,G32*G34,G32*200000+G33*(G34-200000))</f>
        <v>-3096.368119266052</v>
      </c>
      <c r="H35" s="54">
        <f>-IF(H34&lt;200000,H32*H34,H32*200000+H33*(H34-200000))</f>
        <v>-3355.5383600917435</v>
      </c>
      <c r="I35" s="54">
        <f>-IF(I34&lt;200000,I32*I34,I32*200000+I33*(I34-200000))</f>
        <v>-3842.313163417432</v>
      </c>
    </row>
    <row r="36" spans="2:9" ht="2.1" customHeight="1" x14ac:dyDescent="0.2">
      <c r="D36" s="32"/>
      <c r="E36" s="32"/>
      <c r="F36" s="33"/>
      <c r="G36" s="33"/>
      <c r="H36" s="33"/>
      <c r="I36" s="33"/>
    </row>
    <row r="37" spans="2:9" ht="11.25" customHeight="1" x14ac:dyDescent="0.2">
      <c r="D37" s="35" t="s">
        <v>96</v>
      </c>
      <c r="E37" s="36"/>
      <c r="F37" s="151">
        <f>-F35/F34</f>
        <v>0.15</v>
      </c>
      <c r="G37" s="151">
        <f>-G35/G34</f>
        <v>0.19</v>
      </c>
      <c r="H37" s="151">
        <f>-H35/H34</f>
        <v>0.19</v>
      </c>
      <c r="I37" s="152">
        <f>-I35/I34</f>
        <v>0.19</v>
      </c>
    </row>
    <row r="38" spans="2:9" ht="11.25" customHeight="1" x14ac:dyDescent="0.2">
      <c r="D38" s="153" t="s">
        <v>152</v>
      </c>
      <c r="E38" s="154"/>
      <c r="F38" s="155">
        <f>+F25-F35</f>
        <v>262.5</v>
      </c>
      <c r="G38" s="155">
        <f t="shared" ref="G38:I38" si="3">+G25-G35</f>
        <v>266</v>
      </c>
      <c r="H38" s="155">
        <f t="shared" si="3"/>
        <v>199.5</v>
      </c>
      <c r="I38" s="156">
        <f t="shared" si="3"/>
        <v>133</v>
      </c>
    </row>
    <row r="39" spans="2:9" ht="11.25" customHeight="1" x14ac:dyDescent="0.2">
      <c r="D39" s="32"/>
      <c r="E39" s="32"/>
      <c r="F39" s="33"/>
      <c r="G39" s="33"/>
      <c r="H39" s="33"/>
      <c r="I39" s="32"/>
    </row>
    <row r="40" spans="2:9" ht="11.25" customHeight="1" x14ac:dyDescent="0.2">
      <c r="D40" s="32"/>
      <c r="E40" s="32"/>
      <c r="F40" s="33"/>
      <c r="G40" s="33"/>
      <c r="H40" s="33"/>
      <c r="I40" s="32"/>
    </row>
    <row r="41" spans="2:9" x14ac:dyDescent="0.2">
      <c r="B41" s="8" t="s">
        <v>42</v>
      </c>
      <c r="C41" s="8"/>
      <c r="D41" s="7"/>
      <c r="E41" s="7"/>
      <c r="F41" s="7"/>
      <c r="G41" s="7"/>
      <c r="H41" s="7"/>
      <c r="I41" s="7"/>
    </row>
    <row r="45" spans="2:9" x14ac:dyDescent="0.2">
      <c r="F45" s="24"/>
    </row>
    <row r="113" spans="7:7" x14ac:dyDescent="0.2">
      <c r="G113" s="15"/>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DFFD9-B196-4CEC-AC35-6B950F3670C3}">
  <dimension ref="B2:I35"/>
  <sheetViews>
    <sheetView showGridLines="0" zoomScaleNormal="100" workbookViewId="0"/>
  </sheetViews>
  <sheetFormatPr defaultColWidth="9.109375" defaultRowHeight="10.199999999999999" x14ac:dyDescent="0.2"/>
  <cols>
    <col min="1" max="1" width="2.6640625" style="2" customWidth="1"/>
    <col min="2" max="2" width="8.6640625" style="2" customWidth="1"/>
    <col min="3" max="3" width="1.6640625" style="2" customWidth="1"/>
    <col min="4" max="4" width="24.77734375" style="2" customWidth="1"/>
    <col min="5" max="9" width="9.77734375" style="2" customWidth="1"/>
    <col min="10" max="23" width="12.6640625" style="2" customWidth="1"/>
    <col min="24" max="16384" width="9.109375" style="2"/>
  </cols>
  <sheetData>
    <row r="2" spans="2:9" x14ac:dyDescent="0.2">
      <c r="B2" s="9" t="str">
        <f>Frontpage!B17</f>
        <v>Case Templates - Illustrative examples</v>
      </c>
      <c r="C2" s="9"/>
      <c r="D2" s="5"/>
      <c r="E2" s="5"/>
      <c r="F2" s="5"/>
      <c r="G2" s="5"/>
      <c r="H2" s="5"/>
      <c r="I2" s="5"/>
    </row>
    <row r="4" spans="2:9" x14ac:dyDescent="0.2">
      <c r="B4" s="8" t="s">
        <v>29</v>
      </c>
      <c r="C4" s="8"/>
      <c r="D4" s="7"/>
      <c r="E4" s="7"/>
      <c r="F4" s="7"/>
      <c r="G4" s="7"/>
      <c r="H4" s="7"/>
      <c r="I4" s="7"/>
    </row>
    <row r="6" spans="2:9" x14ac:dyDescent="0.2">
      <c r="B6" s="11">
        <v>5</v>
      </c>
      <c r="C6" s="12" t="s">
        <v>100</v>
      </c>
      <c r="D6" s="12"/>
      <c r="E6" s="11"/>
      <c r="F6" s="10"/>
      <c r="G6" s="10"/>
      <c r="H6" s="10"/>
      <c r="I6" s="10"/>
    </row>
    <row r="8" spans="2:9" ht="15.75" customHeight="1" x14ac:dyDescent="0.2">
      <c r="B8" s="56">
        <v>5.0999999999999996</v>
      </c>
      <c r="D8" s="59" t="s">
        <v>189</v>
      </c>
    </row>
    <row r="9" spans="2:9" x14ac:dyDescent="0.2">
      <c r="D9" s="20"/>
      <c r="E9" s="53" t="s">
        <v>153</v>
      </c>
      <c r="F9" s="21" t="s">
        <v>146</v>
      </c>
      <c r="G9" s="21" t="s">
        <v>147</v>
      </c>
      <c r="H9" s="21" t="s">
        <v>148</v>
      </c>
      <c r="I9" s="21" t="s">
        <v>149</v>
      </c>
    </row>
    <row r="10" spans="2:9" ht="2.1" customHeight="1" x14ac:dyDescent="0.2">
      <c r="D10" s="14"/>
      <c r="E10" s="14"/>
      <c r="F10" s="14"/>
      <c r="G10" s="14"/>
      <c r="H10" s="14"/>
    </row>
    <row r="11" spans="2:9" x14ac:dyDescent="0.2">
      <c r="D11" s="68" t="s">
        <v>92</v>
      </c>
      <c r="E11" s="32"/>
      <c r="F11" s="165" t="s">
        <v>145</v>
      </c>
      <c r="G11" s="166"/>
      <c r="H11" s="166"/>
      <c r="I11" s="166"/>
    </row>
    <row r="12" spans="2:9" x14ac:dyDescent="0.2">
      <c r="D12" s="68" t="s">
        <v>93</v>
      </c>
      <c r="E12" s="32"/>
      <c r="F12" s="166"/>
      <c r="G12" s="166"/>
      <c r="H12" s="166"/>
      <c r="I12" s="166"/>
    </row>
    <row r="13" spans="2:9" ht="5.0999999999999996" customHeight="1" x14ac:dyDescent="0.2">
      <c r="D13" s="32"/>
      <c r="E13" s="32"/>
      <c r="F13" s="32"/>
      <c r="G13" s="32"/>
      <c r="H13" s="32"/>
      <c r="I13" s="32"/>
    </row>
    <row r="14" spans="2:9" x14ac:dyDescent="0.2">
      <c r="D14" s="159" t="s">
        <v>154</v>
      </c>
      <c r="E14" s="109"/>
      <c r="F14" s="160"/>
      <c r="G14" s="160"/>
      <c r="H14" s="160"/>
      <c r="I14" s="160"/>
    </row>
    <row r="15" spans="2:9" x14ac:dyDescent="0.2">
      <c r="D15" s="68" t="s">
        <v>113</v>
      </c>
      <c r="E15" s="89">
        <v>1</v>
      </c>
      <c r="F15" s="48"/>
      <c r="G15" s="48"/>
      <c r="H15" s="48"/>
      <c r="I15" s="48"/>
    </row>
    <row r="16" spans="2:9" x14ac:dyDescent="0.2">
      <c r="D16" s="68" t="s">
        <v>26</v>
      </c>
      <c r="E16" s="89">
        <v>-20000</v>
      </c>
      <c r="F16" s="48"/>
      <c r="G16" s="48"/>
      <c r="H16" s="48"/>
      <c r="I16" s="48"/>
    </row>
    <row r="17" spans="4:9" x14ac:dyDescent="0.2">
      <c r="D17" s="68" t="s">
        <v>27</v>
      </c>
      <c r="E17" s="89">
        <v>10</v>
      </c>
      <c r="F17" s="48"/>
      <c r="G17" s="48"/>
      <c r="H17" s="48"/>
      <c r="I17" s="48"/>
    </row>
    <row r="18" spans="4:9" x14ac:dyDescent="0.2">
      <c r="D18" s="68" t="s">
        <v>91</v>
      </c>
      <c r="E18" s="51">
        <f>E16/E17</f>
        <v>-2000</v>
      </c>
      <c r="F18" s="48"/>
      <c r="G18" s="48"/>
      <c r="H18" s="48"/>
      <c r="I18" s="48"/>
    </row>
    <row r="19" spans="4:9" x14ac:dyDescent="0.2">
      <c r="D19" s="32" t="s">
        <v>114</v>
      </c>
      <c r="E19" s="48"/>
      <c r="F19" s="51">
        <f>-(E16-E18)</f>
        <v>18000</v>
      </c>
      <c r="G19" s="51">
        <f>+F19+E18</f>
        <v>16000</v>
      </c>
      <c r="H19" s="51">
        <f>+G19+E18</f>
        <v>14000</v>
      </c>
      <c r="I19" s="51">
        <f>+H19+E18</f>
        <v>12000</v>
      </c>
    </row>
    <row r="20" spans="4:9" x14ac:dyDescent="0.2">
      <c r="D20" s="32" t="s">
        <v>115</v>
      </c>
      <c r="E20" s="32"/>
      <c r="F20" s="32">
        <f>+E18</f>
        <v>-2000</v>
      </c>
      <c r="G20" s="32">
        <f>E18</f>
        <v>-2000</v>
      </c>
      <c r="H20" s="32">
        <f>E18</f>
        <v>-2000</v>
      </c>
      <c r="I20" s="32">
        <f>E18</f>
        <v>-2000</v>
      </c>
    </row>
    <row r="21" spans="4:9" ht="5.0999999999999996" customHeight="1" x14ac:dyDescent="0.2">
      <c r="D21" s="32"/>
      <c r="E21" s="32"/>
      <c r="F21" s="32"/>
      <c r="G21" s="32"/>
      <c r="H21" s="32"/>
      <c r="I21" s="32"/>
    </row>
    <row r="22" spans="4:9" x14ac:dyDescent="0.2">
      <c r="D22" s="159" t="s">
        <v>155</v>
      </c>
      <c r="E22" s="109"/>
      <c r="F22" s="160"/>
      <c r="G22" s="160"/>
      <c r="H22" s="160"/>
      <c r="I22" s="160"/>
    </row>
    <row r="23" spans="4:9" x14ac:dyDescent="0.2">
      <c r="D23" s="32" t="s">
        <v>90</v>
      </c>
      <c r="E23" s="89">
        <v>1</v>
      </c>
      <c r="F23" s="48"/>
      <c r="G23" s="48"/>
      <c r="H23" s="48"/>
      <c r="I23" s="48"/>
    </row>
    <row r="24" spans="4:9" x14ac:dyDescent="0.2">
      <c r="D24" s="68" t="s">
        <v>26</v>
      </c>
      <c r="E24" s="89">
        <v>-15000</v>
      </c>
      <c r="F24" s="48"/>
      <c r="G24" s="48"/>
      <c r="H24" s="48"/>
      <c r="I24" s="48"/>
    </row>
    <row r="25" spans="4:9" x14ac:dyDescent="0.2">
      <c r="D25" s="68" t="s">
        <v>27</v>
      </c>
      <c r="E25" s="89">
        <v>10</v>
      </c>
      <c r="F25" s="48"/>
      <c r="G25" s="48"/>
      <c r="H25" s="48"/>
      <c r="I25" s="48"/>
    </row>
    <row r="26" spans="4:9" x14ac:dyDescent="0.2">
      <c r="D26" s="68" t="s">
        <v>91</v>
      </c>
      <c r="E26" s="52">
        <f>E24/E25</f>
        <v>-1500</v>
      </c>
      <c r="F26" s="48"/>
      <c r="G26" s="48"/>
      <c r="H26" s="48"/>
      <c r="I26" s="48"/>
    </row>
    <row r="27" spans="4:9" x14ac:dyDescent="0.2">
      <c r="D27" s="32" t="s">
        <v>114</v>
      </c>
      <c r="E27" s="48"/>
      <c r="F27" s="51">
        <v>0</v>
      </c>
      <c r="G27" s="51">
        <v>0</v>
      </c>
      <c r="H27" s="51">
        <f>-(E24-E26)</f>
        <v>13500</v>
      </c>
      <c r="I27" s="51">
        <f>+H27+E26</f>
        <v>12000</v>
      </c>
    </row>
    <row r="28" spans="4:9" x14ac:dyDescent="0.2">
      <c r="D28" s="32" t="s">
        <v>115</v>
      </c>
      <c r="E28" s="32"/>
      <c r="F28" s="32">
        <v>0</v>
      </c>
      <c r="G28" s="32">
        <v>0</v>
      </c>
      <c r="H28" s="32">
        <f>E26</f>
        <v>-1500</v>
      </c>
      <c r="I28" s="32">
        <f>E26</f>
        <v>-1500</v>
      </c>
    </row>
    <row r="29" spans="4:9" ht="5.0999999999999996" customHeight="1" x14ac:dyDescent="0.2">
      <c r="D29" s="32"/>
      <c r="E29" s="32"/>
      <c r="F29" s="32"/>
      <c r="G29" s="32"/>
      <c r="H29" s="32"/>
      <c r="I29" s="32"/>
    </row>
    <row r="30" spans="4:9" x14ac:dyDescent="0.2">
      <c r="D30" s="114" t="s">
        <v>161</v>
      </c>
      <c r="E30" s="115"/>
      <c r="F30" s="115"/>
      <c r="G30" s="115"/>
      <c r="H30" s="115"/>
      <c r="I30" s="116"/>
    </row>
    <row r="31" spans="4:9" x14ac:dyDescent="0.2">
      <c r="D31" s="117" t="s">
        <v>138</v>
      </c>
      <c r="E31" s="118"/>
      <c r="F31" s="118">
        <f>+E16</f>
        <v>-20000</v>
      </c>
      <c r="G31" s="118"/>
      <c r="H31" s="118">
        <f>+E24</f>
        <v>-15000</v>
      </c>
      <c r="I31" s="119"/>
    </row>
    <row r="32" spans="4:9" x14ac:dyDescent="0.2">
      <c r="D32" s="117" t="s">
        <v>139</v>
      </c>
      <c r="E32" s="120"/>
      <c r="F32" s="118">
        <f t="shared" ref="F32:I33" si="0">+F19+F27</f>
        <v>18000</v>
      </c>
      <c r="G32" s="118">
        <f t="shared" si="0"/>
        <v>16000</v>
      </c>
      <c r="H32" s="118">
        <f t="shared" si="0"/>
        <v>27500</v>
      </c>
      <c r="I32" s="119">
        <f t="shared" si="0"/>
        <v>24000</v>
      </c>
    </row>
    <row r="33" spans="2:9" x14ac:dyDescent="0.2">
      <c r="D33" s="121" t="s">
        <v>140</v>
      </c>
      <c r="E33" s="122"/>
      <c r="F33" s="123">
        <f t="shared" si="0"/>
        <v>-2000</v>
      </c>
      <c r="G33" s="123">
        <f t="shared" si="0"/>
        <v>-2000</v>
      </c>
      <c r="H33" s="123">
        <f t="shared" si="0"/>
        <v>-3500</v>
      </c>
      <c r="I33" s="124">
        <f t="shared" si="0"/>
        <v>-3500</v>
      </c>
    </row>
    <row r="34" spans="2:9" x14ac:dyDescent="0.2">
      <c r="F34" s="13"/>
      <c r="G34" s="13"/>
      <c r="H34" s="13"/>
      <c r="I34" s="13"/>
    </row>
    <row r="35" spans="2:9" x14ac:dyDescent="0.2">
      <c r="B35" s="8" t="s">
        <v>42</v>
      </c>
      <c r="C35" s="8"/>
      <c r="D35" s="7"/>
      <c r="E35" s="7"/>
      <c r="F35" s="7"/>
      <c r="G35" s="7"/>
      <c r="H35" s="7"/>
      <c r="I35" s="7"/>
    </row>
  </sheetData>
  <mergeCells count="1">
    <mergeCell ref="F11:I1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999E2-066B-4AE7-9888-07A4B1BE43BB}">
  <dimension ref="B2:I32"/>
  <sheetViews>
    <sheetView showGridLines="0" zoomScaleNormal="100" workbookViewId="0"/>
  </sheetViews>
  <sheetFormatPr defaultColWidth="9.109375" defaultRowHeight="10.199999999999999" x14ac:dyDescent="0.2"/>
  <cols>
    <col min="1" max="1" width="2.6640625" style="2" customWidth="1"/>
    <col min="2" max="2" width="8.6640625" style="2" customWidth="1"/>
    <col min="3" max="3" width="1.6640625" style="2" customWidth="1"/>
    <col min="4" max="4" width="24.77734375" style="2" customWidth="1"/>
    <col min="5" max="9" width="9.77734375" style="2" customWidth="1"/>
    <col min="10" max="23" width="12.6640625" style="2" customWidth="1"/>
    <col min="24" max="16384" width="9.109375" style="2"/>
  </cols>
  <sheetData>
    <row r="2" spans="2:9" x14ac:dyDescent="0.2">
      <c r="B2" s="9" t="str">
        <f>Frontpage!B17</f>
        <v>Case Templates - Illustrative examples</v>
      </c>
      <c r="C2" s="9"/>
      <c r="D2" s="5"/>
      <c r="E2" s="5"/>
      <c r="F2" s="5"/>
      <c r="G2" s="5"/>
      <c r="H2" s="5"/>
      <c r="I2" s="5"/>
    </row>
    <row r="4" spans="2:9" x14ac:dyDescent="0.2">
      <c r="B4" s="8" t="s">
        <v>29</v>
      </c>
      <c r="C4" s="8"/>
      <c r="D4" s="7"/>
      <c r="E4" s="7"/>
      <c r="F4" s="7"/>
      <c r="G4" s="7"/>
      <c r="H4" s="7"/>
      <c r="I4" s="7"/>
    </row>
    <row r="6" spans="2:9" x14ac:dyDescent="0.2">
      <c r="B6" s="11">
        <v>6</v>
      </c>
      <c r="C6" s="12" t="s">
        <v>112</v>
      </c>
      <c r="D6" s="12"/>
      <c r="E6" s="11"/>
      <c r="F6" s="10"/>
      <c r="G6" s="10"/>
      <c r="H6" s="10"/>
      <c r="I6" s="10"/>
    </row>
    <row r="8" spans="2:9" ht="15.75" customHeight="1" x14ac:dyDescent="0.2">
      <c r="B8" s="56">
        <v>6.1</v>
      </c>
      <c r="D8" s="59" t="s">
        <v>190</v>
      </c>
    </row>
    <row r="9" spans="2:9" x14ac:dyDescent="0.2">
      <c r="D9" s="20"/>
      <c r="E9" s="21"/>
      <c r="F9" s="21" t="s">
        <v>146</v>
      </c>
      <c r="G9" s="21" t="s">
        <v>147</v>
      </c>
      <c r="H9" s="21" t="s">
        <v>148</v>
      </c>
      <c r="I9" s="21" t="s">
        <v>149</v>
      </c>
    </row>
    <row r="10" spans="2:9" ht="2.1" customHeight="1" x14ac:dyDescent="0.2">
      <c r="D10" s="14"/>
      <c r="E10" s="14"/>
      <c r="F10" s="14"/>
      <c r="G10" s="14"/>
      <c r="H10" s="14"/>
    </row>
    <row r="11" spans="2:9" x14ac:dyDescent="0.2">
      <c r="D11" s="87" t="s">
        <v>116</v>
      </c>
      <c r="F11" s="89">
        <v>10</v>
      </c>
      <c r="G11" s="89">
        <v>9</v>
      </c>
      <c r="H11" s="89">
        <v>8</v>
      </c>
      <c r="I11" s="89">
        <v>7</v>
      </c>
    </row>
    <row r="12" spans="2:9" ht="12" x14ac:dyDescent="0.35">
      <c r="D12" s="87" t="s">
        <v>58</v>
      </c>
      <c r="F12" s="63">
        <f>'1. Financial statements'!F16</f>
        <v>-27000</v>
      </c>
      <c r="G12" s="63">
        <f>'1. Financial statements'!G16</f>
        <v>-28684.403669724765</v>
      </c>
      <c r="H12" s="63">
        <f>'1. Financial statements'!H16</f>
        <v>-30368.807339449537</v>
      </c>
      <c r="I12" s="63">
        <f>'1. Financial statements'!I16</f>
        <v>-32053.211009174312</v>
      </c>
    </row>
    <row r="13" spans="2:9" x14ac:dyDescent="0.2">
      <c r="D13" s="3" t="s">
        <v>79</v>
      </c>
      <c r="E13" s="3"/>
      <c r="F13" s="28">
        <f>-F11/365*F12</f>
        <v>739.72602739726028</v>
      </c>
      <c r="G13" s="28">
        <f>-G11/365*G12</f>
        <v>707.28666582882977</v>
      </c>
      <c r="H13" s="28">
        <f>-H11/365*H12</f>
        <v>665.6176951112227</v>
      </c>
      <c r="I13" s="28">
        <f>-I11/365*I12</f>
        <v>614.71911524443885</v>
      </c>
    </row>
    <row r="14" spans="2:9" ht="5.0999999999999996" customHeight="1" x14ac:dyDescent="0.2">
      <c r="F14" s="32"/>
      <c r="G14" s="32"/>
      <c r="H14" s="32"/>
      <c r="I14" s="32"/>
    </row>
    <row r="15" spans="2:9" x14ac:dyDescent="0.2">
      <c r="D15" s="87" t="s">
        <v>117</v>
      </c>
      <c r="F15" s="89">
        <v>2</v>
      </c>
      <c r="G15" s="89">
        <v>2</v>
      </c>
      <c r="H15" s="89">
        <v>2</v>
      </c>
      <c r="I15" s="89">
        <v>2</v>
      </c>
    </row>
    <row r="16" spans="2:9" ht="12" x14ac:dyDescent="0.35">
      <c r="D16" s="87" t="s">
        <v>69</v>
      </c>
      <c r="F16" s="63">
        <f>'1. Financial statements'!F13</f>
        <v>173394.49541284403</v>
      </c>
      <c r="G16" s="63">
        <f>'1. Financial statements'!G13</f>
        <v>184293.57798165135</v>
      </c>
      <c r="H16" s="63">
        <f>'1. Financial statements'!H13</f>
        <v>195192.66055045871</v>
      </c>
      <c r="I16" s="63">
        <f>'1. Financial statements'!I13</f>
        <v>206091.74311926606</v>
      </c>
    </row>
    <row r="17" spans="2:9" x14ac:dyDescent="0.2">
      <c r="D17" s="3" t="s">
        <v>80</v>
      </c>
      <c r="E17" s="3"/>
      <c r="F17" s="28">
        <f>F15/365*F16</f>
        <v>950.10682417996725</v>
      </c>
      <c r="G17" s="28">
        <f>G15/365*G16</f>
        <v>1009.8278245569937</v>
      </c>
      <c r="H17" s="28">
        <f>H15/365*H16</f>
        <v>1069.5488249340203</v>
      </c>
      <c r="I17" s="28">
        <f>I15/365*I16</f>
        <v>1129.2698253110468</v>
      </c>
    </row>
    <row r="18" spans="2:9" ht="5.0999999999999996" customHeight="1" x14ac:dyDescent="0.2">
      <c r="F18" s="32"/>
      <c r="G18" s="32"/>
      <c r="H18" s="32"/>
      <c r="I18" s="32"/>
    </row>
    <row r="19" spans="2:9" x14ac:dyDescent="0.2">
      <c r="D19" s="87" t="s">
        <v>118</v>
      </c>
      <c r="F19" s="89">
        <v>30</v>
      </c>
      <c r="G19" s="89">
        <v>35</v>
      </c>
      <c r="H19" s="89">
        <v>40</v>
      </c>
      <c r="I19" s="89">
        <v>40</v>
      </c>
    </row>
    <row r="20" spans="2:9" ht="12" x14ac:dyDescent="0.35">
      <c r="D20" s="87" t="s">
        <v>58</v>
      </c>
      <c r="F20" s="63">
        <f>'1. Financial statements'!F16</f>
        <v>-27000</v>
      </c>
      <c r="G20" s="63">
        <f>'1. Financial statements'!G16</f>
        <v>-28684.403669724765</v>
      </c>
      <c r="H20" s="63">
        <f>'1. Financial statements'!H16</f>
        <v>-30368.807339449537</v>
      </c>
      <c r="I20" s="63">
        <f>'1. Financial statements'!I16</f>
        <v>-32053.211009174312</v>
      </c>
    </row>
    <row r="21" spans="2:9" x14ac:dyDescent="0.2">
      <c r="D21" s="3" t="s">
        <v>81</v>
      </c>
      <c r="E21" s="3"/>
      <c r="F21" s="28">
        <f>-F19/365*F20</f>
        <v>2219.1780821917805</v>
      </c>
      <c r="G21" s="28">
        <f t="shared" ref="G21:I21" si="0">-G19/365*G20</f>
        <v>2750.5592560010045</v>
      </c>
      <c r="H21" s="28">
        <f t="shared" si="0"/>
        <v>3328.0884755561133</v>
      </c>
      <c r="I21" s="28">
        <f t="shared" si="0"/>
        <v>3512.6806585396503</v>
      </c>
    </row>
    <row r="22" spans="2:9" ht="5.0999999999999996" customHeight="1" x14ac:dyDescent="0.2">
      <c r="F22" s="32"/>
      <c r="G22" s="32"/>
      <c r="H22" s="32"/>
      <c r="I22" s="32"/>
    </row>
    <row r="23" spans="2:9" x14ac:dyDescent="0.2">
      <c r="D23" s="87" t="s">
        <v>119</v>
      </c>
      <c r="F23" s="111">
        <v>0.01</v>
      </c>
      <c r="G23" s="111">
        <v>0.01</v>
      </c>
      <c r="H23" s="111">
        <v>0.01</v>
      </c>
      <c r="I23" s="111">
        <v>0.01</v>
      </c>
    </row>
    <row r="24" spans="2:9" ht="12" x14ac:dyDescent="0.35">
      <c r="D24" s="87" t="s">
        <v>69</v>
      </c>
      <c r="F24" s="63">
        <f>'1. Financial statements'!F13</f>
        <v>173394.49541284403</v>
      </c>
      <c r="G24" s="63">
        <f>'1. Financial statements'!G13</f>
        <v>184293.57798165135</v>
      </c>
      <c r="H24" s="63">
        <f>'1. Financial statements'!H13</f>
        <v>195192.66055045871</v>
      </c>
      <c r="I24" s="63">
        <f>'1. Financial statements'!I13</f>
        <v>206091.74311926606</v>
      </c>
    </row>
    <row r="25" spans="2:9" x14ac:dyDescent="0.2">
      <c r="D25" s="3" t="s">
        <v>105</v>
      </c>
      <c r="E25" s="3"/>
      <c r="F25" s="28">
        <f>F23*F24</f>
        <v>1733.9449541284403</v>
      </c>
      <c r="G25" s="28">
        <f>G23*G24</f>
        <v>1842.9357798165136</v>
      </c>
      <c r="H25" s="28">
        <f>H23*H24</f>
        <v>1951.9266055045871</v>
      </c>
      <c r="I25" s="28">
        <f>I23*I24</f>
        <v>2060.9174311926608</v>
      </c>
    </row>
    <row r="26" spans="2:9" ht="5.0999999999999996" customHeight="1" x14ac:dyDescent="0.2">
      <c r="F26" s="32"/>
      <c r="G26" s="32"/>
      <c r="H26" s="32"/>
      <c r="I26" s="32"/>
    </row>
    <row r="27" spans="2:9" x14ac:dyDescent="0.2">
      <c r="D27" s="87" t="s">
        <v>120</v>
      </c>
      <c r="F27" s="111">
        <v>0.03</v>
      </c>
      <c r="G27" s="111">
        <v>0.03</v>
      </c>
      <c r="H27" s="111">
        <v>0.03</v>
      </c>
      <c r="I27" s="111">
        <v>0.03</v>
      </c>
    </row>
    <row r="28" spans="2:9" ht="12" x14ac:dyDescent="0.35">
      <c r="D28" s="87" t="s">
        <v>69</v>
      </c>
      <c r="F28" s="63">
        <f>'1. Financial statements'!F13</f>
        <v>173394.49541284403</v>
      </c>
      <c r="G28" s="63">
        <f>'1. Financial statements'!G13</f>
        <v>184293.57798165135</v>
      </c>
      <c r="H28" s="63">
        <f>'1. Financial statements'!H13</f>
        <v>195192.66055045871</v>
      </c>
      <c r="I28" s="63">
        <f>'1. Financial statements'!I13</f>
        <v>206091.74311926606</v>
      </c>
    </row>
    <row r="29" spans="2:9" x14ac:dyDescent="0.2">
      <c r="D29" s="3" t="s">
        <v>104</v>
      </c>
      <c r="E29" s="3"/>
      <c r="F29" s="28">
        <f>F27*F28</f>
        <v>5201.8348623853208</v>
      </c>
      <c r="G29" s="28">
        <f t="shared" ref="G29:I29" si="1">G27*G28</f>
        <v>5528.8073394495405</v>
      </c>
      <c r="H29" s="28">
        <f t="shared" si="1"/>
        <v>5855.779816513761</v>
      </c>
      <c r="I29" s="28">
        <f t="shared" si="1"/>
        <v>6182.7522935779816</v>
      </c>
    </row>
    <row r="30" spans="2:9" x14ac:dyDescent="0.2">
      <c r="D30" s="3"/>
      <c r="E30" s="3"/>
      <c r="F30" s="27"/>
      <c r="G30" s="27"/>
      <c r="H30" s="27"/>
      <c r="I30" s="27"/>
    </row>
    <row r="31" spans="2:9" x14ac:dyDescent="0.2">
      <c r="F31" s="13"/>
      <c r="G31" s="13"/>
      <c r="H31" s="13"/>
      <c r="I31" s="13"/>
    </row>
    <row r="32" spans="2:9" x14ac:dyDescent="0.2">
      <c r="B32" s="8" t="s">
        <v>42</v>
      </c>
      <c r="C32" s="8"/>
      <c r="D32" s="7"/>
      <c r="E32" s="7"/>
      <c r="F32" s="7"/>
      <c r="G32" s="7"/>
      <c r="H32" s="7"/>
      <c r="I32" s="7"/>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B7F50-21D3-47BB-8433-02BC4DF21251}">
  <dimension ref="B2:I21"/>
  <sheetViews>
    <sheetView showGridLines="0" zoomScaleNormal="100" workbookViewId="0"/>
  </sheetViews>
  <sheetFormatPr defaultColWidth="9.109375" defaultRowHeight="10.199999999999999" x14ac:dyDescent="0.2"/>
  <cols>
    <col min="1" max="1" width="2.6640625" style="2" customWidth="1"/>
    <col min="2" max="2" width="8.6640625" style="2" customWidth="1"/>
    <col min="3" max="3" width="1.6640625" style="2" customWidth="1"/>
    <col min="4" max="4" width="24.77734375" style="2" customWidth="1"/>
    <col min="5" max="9" width="9.77734375" style="2" customWidth="1"/>
    <col min="10" max="23" width="12.6640625" style="2" customWidth="1"/>
    <col min="24" max="16384" width="9.109375" style="2"/>
  </cols>
  <sheetData>
    <row r="2" spans="2:9" x14ac:dyDescent="0.2">
      <c r="B2" s="9" t="str">
        <f>Frontpage!B17</f>
        <v>Case Templates - Illustrative examples</v>
      </c>
      <c r="C2" s="9"/>
      <c r="D2" s="5"/>
      <c r="E2" s="5"/>
      <c r="F2" s="5"/>
      <c r="G2" s="5"/>
      <c r="H2" s="5"/>
      <c r="I2" s="5"/>
    </row>
    <row r="4" spans="2:9" x14ac:dyDescent="0.2">
      <c r="B4" s="8" t="s">
        <v>29</v>
      </c>
      <c r="C4" s="8"/>
      <c r="D4" s="7"/>
      <c r="E4" s="7"/>
      <c r="F4" s="7"/>
      <c r="G4" s="7"/>
      <c r="H4" s="7"/>
      <c r="I4" s="7"/>
    </row>
    <row r="6" spans="2:9" x14ac:dyDescent="0.2">
      <c r="B6" s="11">
        <v>7</v>
      </c>
      <c r="C6" s="12" t="s">
        <v>103</v>
      </c>
      <c r="D6" s="12"/>
      <c r="E6" s="11"/>
      <c r="F6" s="10"/>
      <c r="G6" s="10"/>
      <c r="H6" s="10"/>
      <c r="I6" s="10"/>
    </row>
    <row r="8" spans="2:9" s="57" customFormat="1" ht="15.75" customHeight="1" x14ac:dyDescent="0.3">
      <c r="B8" s="56">
        <v>7.1</v>
      </c>
      <c r="D8" s="59" t="s">
        <v>191</v>
      </c>
    </row>
    <row r="9" spans="2:9" x14ac:dyDescent="0.2">
      <c r="D9" s="20"/>
      <c r="E9" s="21"/>
      <c r="F9" s="21" t="s">
        <v>146</v>
      </c>
      <c r="G9" s="21" t="s">
        <v>147</v>
      </c>
      <c r="H9" s="21" t="s">
        <v>148</v>
      </c>
      <c r="I9" s="21" t="s">
        <v>149</v>
      </c>
    </row>
    <row r="10" spans="2:9" ht="2.1" customHeight="1" x14ac:dyDescent="0.2">
      <c r="D10" s="14"/>
      <c r="E10" s="14"/>
      <c r="F10" s="14"/>
      <c r="G10" s="14"/>
      <c r="H10" s="14"/>
    </row>
    <row r="11" spans="2:9" x14ac:dyDescent="0.2">
      <c r="D11" s="3" t="s">
        <v>122</v>
      </c>
      <c r="E11" s="28"/>
      <c r="F11" s="28"/>
      <c r="G11" s="28"/>
      <c r="H11" s="28"/>
      <c r="I11" s="28"/>
    </row>
    <row r="12" spans="2:9" x14ac:dyDescent="0.2">
      <c r="D12" s="2" t="s">
        <v>121</v>
      </c>
      <c r="E12" s="89">
        <v>25000</v>
      </c>
      <c r="F12" s="28"/>
      <c r="G12" s="28"/>
      <c r="H12" s="28"/>
      <c r="I12" s="28"/>
    </row>
    <row r="13" spans="2:9" x14ac:dyDescent="0.2">
      <c r="D13" s="2" t="s">
        <v>127</v>
      </c>
      <c r="E13" s="89">
        <v>-5000</v>
      </c>
      <c r="F13" s="28"/>
      <c r="G13" s="28"/>
      <c r="H13" s="28"/>
      <c r="I13" s="28"/>
    </row>
    <row r="14" spans="2:9" x14ac:dyDescent="0.2">
      <c r="D14" s="2" t="s">
        <v>123</v>
      </c>
      <c r="E14" s="111">
        <v>7.0000000000000007E-2</v>
      </c>
      <c r="F14" s="28"/>
      <c r="G14" s="28"/>
      <c r="H14" s="28"/>
      <c r="I14" s="28"/>
    </row>
    <row r="15" spans="2:9" x14ac:dyDescent="0.2">
      <c r="D15" s="3"/>
      <c r="E15" s="28"/>
      <c r="F15" s="28"/>
      <c r="G15" s="28"/>
      <c r="H15" s="28"/>
      <c r="I15" s="28"/>
    </row>
    <row r="16" spans="2:9" x14ac:dyDescent="0.2">
      <c r="D16" s="2" t="s">
        <v>125</v>
      </c>
      <c r="E16" s="28"/>
      <c r="F16" s="32">
        <f>E12</f>
        <v>25000</v>
      </c>
      <c r="G16" s="32">
        <f>F17</f>
        <v>20000</v>
      </c>
      <c r="H16" s="32">
        <f>+G17</f>
        <v>15000</v>
      </c>
      <c r="I16" s="32">
        <f>+H17</f>
        <v>10000</v>
      </c>
    </row>
    <row r="17" spans="2:9" x14ac:dyDescent="0.2">
      <c r="D17" s="3" t="s">
        <v>124</v>
      </c>
      <c r="E17" s="28"/>
      <c r="F17" s="28">
        <f>+F16+E13</f>
        <v>20000</v>
      </c>
      <c r="G17" s="28">
        <f>+G16+E13</f>
        <v>15000</v>
      </c>
      <c r="H17" s="28">
        <f>+H16+E13</f>
        <v>10000</v>
      </c>
      <c r="I17" s="28">
        <f>+I16+E13</f>
        <v>5000</v>
      </c>
    </row>
    <row r="18" spans="2:9" x14ac:dyDescent="0.2">
      <c r="D18" s="3" t="s">
        <v>126</v>
      </c>
      <c r="E18" s="28"/>
      <c r="F18" s="28">
        <f>-F16*$E$14</f>
        <v>-1750.0000000000002</v>
      </c>
      <c r="G18" s="28">
        <f>-G16*$E$14</f>
        <v>-1400.0000000000002</v>
      </c>
      <c r="H18" s="28">
        <f>-H16*$E$14</f>
        <v>-1050</v>
      </c>
      <c r="I18" s="28">
        <f>-I16*$E$14</f>
        <v>-700.00000000000011</v>
      </c>
    </row>
    <row r="19" spans="2:9" x14ac:dyDescent="0.2">
      <c r="D19" s="3"/>
      <c r="E19" s="28"/>
      <c r="F19" s="28"/>
      <c r="G19" s="28"/>
      <c r="H19" s="28"/>
      <c r="I19" s="28"/>
    </row>
    <row r="20" spans="2:9" x14ac:dyDescent="0.2">
      <c r="D20" s="3"/>
      <c r="E20" s="28"/>
      <c r="F20" s="28"/>
      <c r="G20" s="28"/>
      <c r="H20" s="28"/>
      <c r="I20" s="28"/>
    </row>
    <row r="21" spans="2:9" x14ac:dyDescent="0.2">
      <c r="B21" s="8" t="s">
        <v>42</v>
      </c>
      <c r="C21" s="8"/>
      <c r="D21" s="7"/>
      <c r="E21" s="7"/>
      <c r="F21" s="7"/>
      <c r="G21" s="7"/>
      <c r="H21" s="7"/>
      <c r="I21" s="7"/>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14</vt:i4>
      </vt:variant>
    </vt:vector>
  </HeadingPairs>
  <TitlesOfParts>
    <vt:vector size="14" baseType="lpstr">
      <vt:lpstr>Frontpage</vt:lpstr>
      <vt:lpstr>Input</vt:lpstr>
      <vt:lpstr>1. Revenue</vt:lpstr>
      <vt:lpstr>2. COGS</vt:lpstr>
      <vt:lpstr>3. Employee expenses</vt:lpstr>
      <vt:lpstr>4. Other expenses and CIT</vt:lpstr>
      <vt:lpstr>5. Depreciation and investments</vt:lpstr>
      <vt:lpstr>6. Working capital</vt:lpstr>
      <vt:lpstr>7. Debt and interest</vt:lpstr>
      <vt:lpstr>Output</vt:lpstr>
      <vt:lpstr>1. Financial statements</vt:lpstr>
      <vt:lpstr>Other examples</vt:lpstr>
      <vt:lpstr>1. NPV calculation</vt:lpstr>
      <vt:lpstr>1. Revenue SaaS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dc:creator>
  <cp:lastModifiedBy>Carlo Fiscalini</cp:lastModifiedBy>
  <dcterms:created xsi:type="dcterms:W3CDTF">2023-01-11T11:14:59Z</dcterms:created>
  <dcterms:modified xsi:type="dcterms:W3CDTF">2026-04-08T19:00:21Z</dcterms:modified>
</cp:coreProperties>
</file>